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0" firstSheet="2" activeTab="2"/>
  </bookViews>
  <sheets>
    <sheet name="Analysis - Dollars" sheetId="1" r:id="rId1"/>
    <sheet name="Analysis - 10% rem added - 1" sheetId="2" r:id="rId2"/>
    <sheet name="Analysis - 10% rem added - 2" sheetId="3" r:id="rId3"/>
    <sheet name="FY08 Resource Fee  Budgets" sheetId="4" r:id="rId4"/>
    <sheet name="Ind Tui Comparisons" sheetId="5" r:id="rId5"/>
    <sheet name="Detail FY07 Resource Fees" sheetId="6" r:id="rId6"/>
    <sheet name="Financial Data" sheetId="7" r:id="rId7"/>
    <sheet name="Sheet3" sheetId="8" r:id="rId8"/>
  </sheets>
  <definedNames>
    <definedName name="_xlnm.Print_Area" localSheetId="1">'Analysis - 10% rem added - 1'!$A$1:$I$54</definedName>
    <definedName name="_xlnm.Print_Area" localSheetId="0">'Analysis - Dollars'!$A$1:$F$47</definedName>
  </definedNames>
  <calcPr fullCalcOnLoad="1"/>
</workbook>
</file>

<file path=xl/comments2.xml><?xml version="1.0" encoding="utf-8"?>
<comments xmlns="http://schemas.openxmlformats.org/spreadsheetml/2006/main">
  <authors>
    <author>Terri Cook</author>
  </authors>
  <commentList>
    <comment ref="H46" authorId="0">
      <text>
        <r>
          <rPr>
            <b/>
            <sz val="8"/>
            <rFont val="Tahoma"/>
            <family val="0"/>
          </rPr>
          <t>Terri Cook:</t>
        </r>
        <r>
          <rPr>
            <sz val="8"/>
            <rFont val="Tahoma"/>
            <family val="0"/>
          </rPr>
          <t xml:space="preserve">
FY07 actual resource fees for
   Science:   169,720
Divide by annual amt per stdnt -120
Estimated upper div majors</t>
        </r>
      </text>
    </comment>
    <comment ref="H42" authorId="0">
      <text>
        <r>
          <rPr>
            <b/>
            <sz val="8"/>
            <rFont val="Tahoma"/>
            <family val="0"/>
          </rPr>
          <t>Terri Cook:</t>
        </r>
        <r>
          <rPr>
            <sz val="8"/>
            <rFont val="Tahoma"/>
            <family val="0"/>
          </rPr>
          <t xml:space="preserve">
FY07 actual resource fees for
   Liberal  Arts:   184,748
Divide by annual amt per stdnt -120
Estimated upper div majors</t>
        </r>
      </text>
    </comment>
  </commentList>
</comments>
</file>

<file path=xl/comments3.xml><?xml version="1.0" encoding="utf-8"?>
<comments xmlns="http://schemas.openxmlformats.org/spreadsheetml/2006/main">
  <authors>
    <author>Terri Cook</author>
  </authors>
  <commentList>
    <comment ref="H42" authorId="0">
      <text>
        <r>
          <rPr>
            <b/>
            <sz val="8"/>
            <rFont val="Tahoma"/>
            <family val="0"/>
          </rPr>
          <t>Terri Cook:</t>
        </r>
        <r>
          <rPr>
            <sz val="8"/>
            <rFont val="Tahoma"/>
            <family val="0"/>
          </rPr>
          <t xml:space="preserve">
FY07 actual resource fees for
   Liberal  Arts:   184,748
Divide by annual amt per stdnt -120
Estimated upper div majors</t>
        </r>
      </text>
    </comment>
    <comment ref="H46" authorId="0">
      <text>
        <r>
          <rPr>
            <b/>
            <sz val="8"/>
            <rFont val="Tahoma"/>
            <family val="0"/>
          </rPr>
          <t>Terri Cook:</t>
        </r>
        <r>
          <rPr>
            <sz val="8"/>
            <rFont val="Tahoma"/>
            <family val="0"/>
          </rPr>
          <t xml:space="preserve">
FY07 actual resource fees for
   Science:   169,720
Divide by annual amt per stdnt -120
Estimated upper div majors</t>
        </r>
      </text>
    </comment>
  </commentList>
</comments>
</file>

<file path=xl/comments8.xml><?xml version="1.0" encoding="utf-8"?>
<comments xmlns="http://schemas.openxmlformats.org/spreadsheetml/2006/main">
  <authors>
    <author>Terri Cook</author>
  </authors>
  <commentList>
    <comment ref="C10" authorId="0">
      <text>
        <r>
          <rPr>
            <b/>
            <sz val="8"/>
            <rFont val="Tahoma"/>
            <family val="0"/>
          </rPr>
          <t>Terri Cook:</t>
        </r>
        <r>
          <rPr>
            <sz val="8"/>
            <rFont val="Tahoma"/>
            <family val="0"/>
          </rPr>
          <t xml:space="preserve">
Assumed 75% of majors were upper division - excluded Art Majors</t>
        </r>
      </text>
    </comment>
    <comment ref="C25" authorId="0">
      <text>
        <r>
          <rPr>
            <b/>
            <sz val="8"/>
            <rFont val="Tahoma"/>
            <family val="0"/>
          </rPr>
          <t>Terri Cook:</t>
        </r>
        <r>
          <rPr>
            <sz val="8"/>
            <rFont val="Tahoma"/>
            <family val="0"/>
          </rPr>
          <t xml:space="preserve">
Assumed 75% of majors were upper division </t>
        </r>
      </text>
    </comment>
  </commentList>
</comments>
</file>

<file path=xl/sharedStrings.xml><?xml version="1.0" encoding="utf-8"?>
<sst xmlns="http://schemas.openxmlformats.org/spreadsheetml/2006/main" count="362" uniqueCount="225">
  <si>
    <t>The following fees stay as resource fees:</t>
  </si>
  <si>
    <t xml:space="preserve">          CLA Upper Division Majors</t>
  </si>
  <si>
    <t xml:space="preserve">          Art Majors</t>
  </si>
  <si>
    <t xml:space="preserve">          SCI Upper Division Majors</t>
  </si>
  <si>
    <t xml:space="preserve">          HDFS Majors</t>
  </si>
  <si>
    <t xml:space="preserve">          Apparel Design Majors</t>
  </si>
  <si>
    <t xml:space="preserve">          Interior Design Majors</t>
  </si>
  <si>
    <t xml:space="preserve">          Merchandising Mngmt Majors</t>
  </si>
  <si>
    <t xml:space="preserve">          Educational Resources</t>
  </si>
  <si>
    <t>Cascades Students:</t>
  </si>
  <si>
    <t xml:space="preserve">      All Others</t>
  </si>
  <si>
    <t>The following fees are moved to general tuition:</t>
  </si>
  <si>
    <t>The following fees change to differential tuition</t>
  </si>
  <si>
    <t>Engineering Undergrad Study</t>
  </si>
  <si>
    <t xml:space="preserve">          Housing Studies Majors</t>
  </si>
  <si>
    <t>Weatherford Residential College - to auxiliary</t>
  </si>
  <si>
    <t>Fiscal Year4</t>
  </si>
  <si>
    <t>Acct Title</t>
  </si>
  <si>
    <t>SUM Per 14 YTD Cr</t>
  </si>
  <si>
    <t>Study Resources Fees</t>
  </si>
  <si>
    <t>Other Resource Fees -  added to general tuition</t>
  </si>
  <si>
    <t>Resource Fee - differential tuition</t>
  </si>
  <si>
    <t xml:space="preserve">Total dollars needed from Resource fees </t>
  </si>
  <si>
    <t>Diff Tuition</t>
  </si>
  <si>
    <t>More</t>
  </si>
  <si>
    <t>(Less)</t>
  </si>
  <si>
    <t>Number</t>
  </si>
  <si>
    <t xml:space="preserve">of </t>
  </si>
  <si>
    <t>Majors</t>
  </si>
  <si>
    <r>
      <t>Majors</t>
    </r>
    <r>
      <rPr>
        <vertAlign val="superscript"/>
        <sz val="10"/>
        <rFont val="Arial"/>
        <family val="0"/>
      </rPr>
      <t>2</t>
    </r>
  </si>
  <si>
    <t>From Enrollment Summary Fall Term 2007 - Office of Insitutional Research</t>
  </si>
  <si>
    <t>2</t>
  </si>
  <si>
    <t>Fiscal Year 2008</t>
  </si>
  <si>
    <t>Education</t>
  </si>
  <si>
    <t>Undergraduate Resource Fee Budgets</t>
  </si>
  <si>
    <t>HHS</t>
  </si>
  <si>
    <t>Agricultural Science</t>
  </si>
  <si>
    <t xml:space="preserve">Education </t>
  </si>
  <si>
    <t xml:space="preserve">Forestry </t>
  </si>
  <si>
    <t xml:space="preserve">HHS </t>
  </si>
  <si>
    <t xml:space="preserve">     Art </t>
  </si>
  <si>
    <t xml:space="preserve">     Education </t>
  </si>
  <si>
    <t xml:space="preserve">    Merch Mngmt</t>
  </si>
  <si>
    <t>10% Fee Remission added to general tuition</t>
  </si>
  <si>
    <t>CAS Resource Fee (Art)</t>
  </si>
  <si>
    <t>Engineering - Pre Majors</t>
  </si>
  <si>
    <t>Engineering - Majors</t>
  </si>
  <si>
    <t>Liberal Arts - Upper Division</t>
  </si>
  <si>
    <t>Liberal Arts - Art</t>
  </si>
  <si>
    <t>Resource Fee - change to differential tuition</t>
  </si>
  <si>
    <t>Matriculation Resource Fee</t>
  </si>
  <si>
    <t>01214</t>
  </si>
  <si>
    <t>Honors College Study Resource Fees</t>
  </si>
  <si>
    <t>01215</t>
  </si>
  <si>
    <t>Business Major Resource Fee</t>
  </si>
  <si>
    <t>01217</t>
  </si>
  <si>
    <t>CAS Resource Fee</t>
  </si>
  <si>
    <t>01226</t>
  </si>
  <si>
    <t>School of Education Resource Fee</t>
  </si>
  <si>
    <t>01232</t>
  </si>
  <si>
    <t>Engineer Undergrad Study Res Fee</t>
  </si>
  <si>
    <t>01233</t>
  </si>
  <si>
    <t>Engineer Grad Study Resource Fee</t>
  </si>
  <si>
    <t>01234</t>
  </si>
  <si>
    <t>Pre-Engineer Study Resource Fee</t>
  </si>
  <si>
    <t>01244</t>
  </si>
  <si>
    <t>Interdisciplinary Studies- Graduate</t>
  </si>
  <si>
    <t>01248</t>
  </si>
  <si>
    <t>Liberal Arts - Upper Div Res Fee</t>
  </si>
  <si>
    <t>01249</t>
  </si>
  <si>
    <t>Science - Upper Div Study Res Fee</t>
  </si>
  <si>
    <t>01250</t>
  </si>
  <si>
    <t>Human Dev&amp;Family Sci Res Fee</t>
  </si>
  <si>
    <t>01251</t>
  </si>
  <si>
    <t>DHE-Apparel/Interior Dsgn Res Fee</t>
  </si>
  <si>
    <t>01253</t>
  </si>
  <si>
    <t>Weatherford AEP Resource Fee</t>
  </si>
  <si>
    <t>01258</t>
  </si>
  <si>
    <t>Housing Studies Resource Fee</t>
  </si>
  <si>
    <t>Other Student Fees</t>
  </si>
  <si>
    <t>FY07 Resource Fees</t>
  </si>
  <si>
    <t>UnderGrad</t>
  </si>
  <si>
    <t>Graduate</t>
  </si>
  <si>
    <t>Resident</t>
  </si>
  <si>
    <t>Non-Resident</t>
  </si>
  <si>
    <t>From p.9 Enrollment Mngmt Report-Fall 2006</t>
  </si>
  <si>
    <t>Total UG Resident</t>
  </si>
  <si>
    <t>Total UG Non-Resident</t>
  </si>
  <si>
    <t>Total Grad Resident</t>
  </si>
  <si>
    <t>Total Grad Non-Resident</t>
  </si>
  <si>
    <t>Delete altogether</t>
  </si>
  <si>
    <t>Stays as resource fee</t>
  </si>
  <si>
    <t>012XX</t>
  </si>
  <si>
    <t>017XX</t>
  </si>
  <si>
    <t>Resource Fees</t>
  </si>
  <si>
    <t>Fiscal Year 2007</t>
  </si>
  <si>
    <t>Move Resource Fees</t>
  </si>
  <si>
    <t>Account Title</t>
  </si>
  <si>
    <t>Stays as resource fee (Graduate portion)</t>
  </si>
  <si>
    <t>Actual</t>
  </si>
  <si>
    <t>Ending Result</t>
  </si>
  <si>
    <t>Pre-Engineering</t>
  </si>
  <si>
    <t>Engineering Graduate Study</t>
  </si>
  <si>
    <t>Business Major</t>
  </si>
  <si>
    <t>MBA Study</t>
  </si>
  <si>
    <t>Honors College</t>
  </si>
  <si>
    <t>Matriculation</t>
  </si>
  <si>
    <t>Pharmacy Study</t>
  </si>
  <si>
    <t>Technology Fee - Graduate portion</t>
  </si>
  <si>
    <t>Interdisciplinary Studies - Graduate</t>
  </si>
  <si>
    <t>Based on FY2007 Data</t>
  </si>
  <si>
    <r>
      <t>to Tuition</t>
    </r>
    <r>
      <rPr>
        <vertAlign val="superscript"/>
        <sz val="10"/>
        <rFont val="Arial"/>
        <family val="0"/>
      </rPr>
      <t>1</t>
    </r>
  </si>
  <si>
    <r>
      <t>1</t>
    </r>
    <r>
      <rPr>
        <sz val="10"/>
        <rFont val="Arial"/>
        <family val="0"/>
      </rPr>
      <t xml:space="preserve"> Estimated Resident and Non-resident amounts using data from the Fall 2006 Enrollment Summary</t>
    </r>
  </si>
  <si>
    <t>Registration Fee - All Majors</t>
  </si>
  <si>
    <t>Building</t>
  </si>
  <si>
    <t>Incidental</t>
  </si>
  <si>
    <t>Fees</t>
  </si>
  <si>
    <t>Health Services</t>
  </si>
  <si>
    <t>Undergrad Tuition &amp; Fees per term</t>
  </si>
  <si>
    <t>Differential Tuition &amp; Fees Calculation</t>
  </si>
  <si>
    <t>Tuition &amp; Fees</t>
  </si>
  <si>
    <t>Resource fees to be moved to tuition excluding technology fee</t>
  </si>
  <si>
    <t>Total undergraduate tuition</t>
  </si>
  <si>
    <r>
      <t>All Other Resource Fees-1% of tuition</t>
    </r>
    <r>
      <rPr>
        <vertAlign val="superscript"/>
        <sz val="10"/>
        <rFont val="Arial"/>
        <family val="0"/>
      </rPr>
      <t>1</t>
    </r>
  </si>
  <si>
    <t xml:space="preserve">    HDFS</t>
  </si>
  <si>
    <t xml:space="preserve">    Apparel Design</t>
  </si>
  <si>
    <t xml:space="preserve">    Interior Design</t>
  </si>
  <si>
    <t xml:space="preserve">    All Other</t>
  </si>
  <si>
    <t xml:space="preserve">    Lower Division</t>
  </si>
  <si>
    <t xml:space="preserve">    Upper Division</t>
  </si>
  <si>
    <t xml:space="preserve">    Art Majors</t>
  </si>
  <si>
    <t>Student Comparisons</t>
  </si>
  <si>
    <t>Calculated</t>
  </si>
  <si>
    <t>Pre Eng</t>
  </si>
  <si>
    <t>Engineering</t>
  </si>
  <si>
    <t>Business</t>
  </si>
  <si>
    <t>Honors</t>
  </si>
  <si>
    <t>Other</t>
  </si>
  <si>
    <t>Art Majors</t>
  </si>
  <si>
    <t>Technology Fee - All Majors</t>
  </si>
  <si>
    <t>CLA Upper Division Majors</t>
  </si>
  <si>
    <t>Science Upper Division Majors</t>
  </si>
  <si>
    <t>HDFS Majors</t>
  </si>
  <si>
    <t>Apparel Design Majors</t>
  </si>
  <si>
    <t>Total UG Art majors</t>
  </si>
  <si>
    <t>Percentage</t>
  </si>
  <si>
    <t>Majors information from Enrollment Summary Fall Term 2006</t>
  </si>
  <si>
    <t>Pre-Engineering Majors</t>
  </si>
  <si>
    <t>Engineering Majors</t>
  </si>
  <si>
    <t>Business Majors</t>
  </si>
  <si>
    <t>Total Other UG Majors</t>
  </si>
  <si>
    <t>Total UG HDFS majors</t>
  </si>
  <si>
    <t>Total UG Apparel Design majors</t>
  </si>
  <si>
    <t>Interior Design Majors</t>
  </si>
  <si>
    <t>Total UG Interior Design majors</t>
  </si>
  <si>
    <t>Merchandise Management Majors</t>
  </si>
  <si>
    <t>Total UG Merch Mngmt majors</t>
  </si>
  <si>
    <t>Total</t>
  </si>
  <si>
    <t>Full time UG Base Tuition (FY08)</t>
  </si>
  <si>
    <t>Total Upper Div CLA Majors</t>
  </si>
  <si>
    <t>Education Majors</t>
  </si>
  <si>
    <t>Total UG Education majors</t>
  </si>
  <si>
    <t>Oregon State University</t>
  </si>
  <si>
    <t xml:space="preserve">Current </t>
  </si>
  <si>
    <t>Tuition</t>
  </si>
  <si>
    <t>FY08</t>
  </si>
  <si>
    <t>Differential</t>
  </si>
  <si>
    <t>Pre-Enginering Majors</t>
  </si>
  <si>
    <t>Agricultural Science majors</t>
  </si>
  <si>
    <t>Forestry Majors</t>
  </si>
  <si>
    <t>HHS Majors</t>
  </si>
  <si>
    <t>HDFS</t>
  </si>
  <si>
    <t>Apparel Design</t>
  </si>
  <si>
    <t>Interior Design</t>
  </si>
  <si>
    <t>Merchandising Mngmt</t>
  </si>
  <si>
    <t>All Other</t>
  </si>
  <si>
    <t>Liberal Arts</t>
  </si>
  <si>
    <t>Lower Division</t>
  </si>
  <si>
    <t>Upper Division</t>
  </si>
  <si>
    <t>Science</t>
  </si>
  <si>
    <t>Differential Tuition Calculation</t>
  </si>
  <si>
    <t>Acct</t>
  </si>
  <si>
    <t>Resident Undergrad Tuition</t>
  </si>
  <si>
    <t>Nonresident Undergrad Tuition</t>
  </si>
  <si>
    <t>Fac/Staff/Qualified Transferee Tuit</t>
  </si>
  <si>
    <t>Resident Graduate Tuition</t>
  </si>
  <si>
    <t>Nonresident Graduate Tuition</t>
  </si>
  <si>
    <t>Wstrn Undergrad Exch (WUE) Tuition</t>
  </si>
  <si>
    <t>PT Fee Policy Graduate Tuition</t>
  </si>
  <si>
    <t>PT Fee Policy Undergrad Tuition</t>
  </si>
  <si>
    <t>Summer Resident Undergrad Tuition</t>
  </si>
  <si>
    <t>Summer Resident Graduate Tuition</t>
  </si>
  <si>
    <t>Vet Med Resident Tuition</t>
  </si>
  <si>
    <t>Vet Med Nonresident Tuition</t>
  </si>
  <si>
    <t>PharmD Resident Tuition</t>
  </si>
  <si>
    <t>PharmD Nonresident Tuition</t>
  </si>
  <si>
    <t>Continuing Ed Credit Tuition</t>
  </si>
  <si>
    <t>WICHE VetMed Support at OSU</t>
  </si>
  <si>
    <t>WICHE Pharmacy Support</t>
  </si>
  <si>
    <t>Tuition Surcharge</t>
  </si>
  <si>
    <t>01101</t>
  </si>
  <si>
    <t>01102</t>
  </si>
  <si>
    <t>01103</t>
  </si>
  <si>
    <t>01104</t>
  </si>
  <si>
    <t>01105</t>
  </si>
  <si>
    <t>01106</t>
  </si>
  <si>
    <t>01108</t>
  </si>
  <si>
    <t>01109</t>
  </si>
  <si>
    <t>01110</t>
  </si>
  <si>
    <t>01112</t>
  </si>
  <si>
    <t>01130</t>
  </si>
  <si>
    <t>01131</t>
  </si>
  <si>
    <t>01140</t>
  </si>
  <si>
    <t>01141</t>
  </si>
  <si>
    <t>01180</t>
  </si>
  <si>
    <t>01190</t>
  </si>
  <si>
    <t>01192</t>
  </si>
  <si>
    <t>01195</t>
  </si>
  <si>
    <t>01203</t>
  </si>
  <si>
    <t>MBA Res Study Resource Fee</t>
  </si>
  <si>
    <t>01209</t>
  </si>
  <si>
    <t>Pharmacy Res Study Resource Fee</t>
  </si>
  <si>
    <t>01211</t>
  </si>
  <si>
    <t>Technology Resource Fee - Res</t>
  </si>
  <si>
    <t>01213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</si>
</sst>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?_);_(@_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66" fontId="4" fillId="0" borderId="0" xfId="59" applyNumberFormat="1" applyFont="1" applyAlignment="1">
      <alignment horizontal="right"/>
    </xf>
    <xf numFmtId="165" fontId="0" fillId="0" borderId="10" xfId="42" applyNumberFormat="1" applyFont="1" applyBorder="1" applyAlignment="1">
      <alignment horizontal="right"/>
    </xf>
    <xf numFmtId="165" fontId="0" fillId="0" borderId="0" xfId="42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 horizontal="left"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165" fontId="0" fillId="0" borderId="10" xfId="42" applyNumberFormat="1" applyFont="1" applyBorder="1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166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65" fontId="0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/>
    </xf>
    <xf numFmtId="41" fontId="0" fillId="0" borderId="0" xfId="0" applyNumberFormat="1" applyBorder="1" applyAlignment="1">
      <alignment/>
    </xf>
    <xf numFmtId="166" fontId="0" fillId="0" borderId="0" xfId="59" applyNumberFormat="1" applyFont="1" applyBorder="1" applyAlignment="1">
      <alignment/>
    </xf>
    <xf numFmtId="0" fontId="7" fillId="0" borderId="0" xfId="0" applyFont="1" applyAlignment="1">
      <alignment/>
    </xf>
    <xf numFmtId="41" fontId="0" fillId="0" borderId="11" xfId="42" applyNumberFormat="1" applyFont="1" applyBorder="1" applyAlignment="1">
      <alignment horizontal="center"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165" fontId="0" fillId="0" borderId="12" xfId="42" applyNumberFormat="1" applyFont="1" applyBorder="1" applyAlignment="1">
      <alignment horizontal="left"/>
    </xf>
    <xf numFmtId="165" fontId="0" fillId="0" borderId="12" xfId="42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0" fillId="0" borderId="14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12" xfId="42" applyNumberFormat="1" applyFont="1" applyBorder="1" applyAlignment="1">
      <alignment/>
    </xf>
    <xf numFmtId="165" fontId="0" fillId="0" borderId="12" xfId="42" applyNumberFormat="1" applyFont="1" applyFill="1" applyBorder="1" applyAlignment="1">
      <alignment horizontal="left"/>
    </xf>
    <xf numFmtId="165" fontId="0" fillId="0" borderId="15" xfId="42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165" fontId="0" fillId="0" borderId="17" xfId="42" applyNumberFormat="1" applyFont="1" applyBorder="1" applyAlignment="1">
      <alignment horizontal="right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5" xfId="0" applyNumberFormat="1" applyBorder="1" applyAlignment="1">
      <alignment/>
    </xf>
    <xf numFmtId="41" fontId="0" fillId="0" borderId="14" xfId="4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8" xfId="0" applyBorder="1" applyAlignment="1">
      <alignment horizontal="center"/>
    </xf>
    <xf numFmtId="41" fontId="0" fillId="0" borderId="18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14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left"/>
    </xf>
    <xf numFmtId="0" fontId="7" fillId="0" borderId="0" xfId="0" applyFont="1" applyAlignment="1" quotePrefix="1">
      <alignment horizontal="right"/>
    </xf>
    <xf numFmtId="0" fontId="0" fillId="0" borderId="19" xfId="0" applyBorder="1" applyAlignment="1">
      <alignment/>
    </xf>
    <xf numFmtId="165" fontId="0" fillId="0" borderId="18" xfId="42" applyNumberFormat="1" applyFon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41" fontId="0" fillId="0" borderId="20" xfId="42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41" fontId="0" fillId="0" borderId="21" xfId="42" applyNumberFormat="1" applyFont="1" applyBorder="1" applyAlignment="1">
      <alignment horizontal="center"/>
    </xf>
    <xf numFmtId="41" fontId="0" fillId="0" borderId="22" xfId="42" applyNumberFormat="1" applyFont="1" applyBorder="1" applyAlignment="1">
      <alignment horizontal="center"/>
    </xf>
    <xf numFmtId="41" fontId="0" fillId="0" borderId="23" xfId="42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">
      <selection activeCell="B45" sqref="B45"/>
    </sheetView>
  </sheetViews>
  <sheetFormatPr defaultColWidth="8.8515625" defaultRowHeight="12.75"/>
  <cols>
    <col min="1" max="1" width="6.7109375" style="0" customWidth="1"/>
    <col min="2" max="2" width="32.7109375" style="0" bestFit="1" customWidth="1"/>
    <col min="3" max="3" width="15.140625" style="0" bestFit="1" customWidth="1"/>
    <col min="4" max="4" width="18.421875" style="0" customWidth="1"/>
    <col min="5" max="5" width="14.421875" style="0" customWidth="1"/>
    <col min="6" max="6" width="6.28125" style="0" customWidth="1"/>
  </cols>
  <sheetData>
    <row r="1" spans="1:6" ht="15">
      <c r="A1" s="62" t="s">
        <v>162</v>
      </c>
      <c r="B1" s="62"/>
      <c r="C1" s="62"/>
      <c r="D1" s="62"/>
      <c r="E1" s="62"/>
      <c r="F1" s="62"/>
    </row>
    <row r="2" spans="1:6" ht="15">
      <c r="A2" s="62" t="s">
        <v>180</v>
      </c>
      <c r="B2" s="62"/>
      <c r="C2" s="62"/>
      <c r="D2" s="62"/>
      <c r="E2" s="62"/>
      <c r="F2" s="62"/>
    </row>
    <row r="3" spans="1:6" ht="12.75">
      <c r="A3" s="63" t="s">
        <v>110</v>
      </c>
      <c r="B3" s="63"/>
      <c r="C3" s="63"/>
      <c r="D3" s="63"/>
      <c r="E3" s="63"/>
      <c r="F3" s="63"/>
    </row>
    <row r="4" spans="1:5" ht="12">
      <c r="A4" s="1"/>
      <c r="B4" s="1"/>
      <c r="C4" s="1"/>
      <c r="D4" s="1"/>
      <c r="E4" s="1"/>
    </row>
    <row r="5" spans="3:4" ht="12">
      <c r="C5" s="1" t="s">
        <v>95</v>
      </c>
      <c r="D5" s="1" t="s">
        <v>96</v>
      </c>
    </row>
    <row r="6" spans="1:5" ht="14.25">
      <c r="A6" s="16" t="s">
        <v>181</v>
      </c>
      <c r="B6" s="1" t="s">
        <v>97</v>
      </c>
      <c r="C6" s="1" t="s">
        <v>99</v>
      </c>
      <c r="D6" s="1" t="s">
        <v>111</v>
      </c>
      <c r="E6" s="1" t="s">
        <v>100</v>
      </c>
    </row>
    <row r="7" spans="1:5" ht="12">
      <c r="A7" s="9" t="s">
        <v>200</v>
      </c>
      <c r="B7" t="s">
        <v>182</v>
      </c>
      <c r="C7" s="7">
        <v>52878736.65</v>
      </c>
      <c r="D7" s="7">
        <f>'Financial Data'!F11</f>
        <v>4653287.710663992</v>
      </c>
      <c r="E7" s="7">
        <f>C7+D7</f>
        <v>57532024.36066399</v>
      </c>
    </row>
    <row r="8" spans="1:5" ht="12">
      <c r="A8" s="9" t="s">
        <v>201</v>
      </c>
      <c r="B8" t="s">
        <v>183</v>
      </c>
      <c r="C8" s="7">
        <v>23403634.45</v>
      </c>
      <c r="D8" s="7">
        <f>'Financial Data'!G11</f>
        <v>678758.8487757308</v>
      </c>
      <c r="E8" s="7">
        <f aca="true" t="shared" si="0" ref="E8:E26">C8+D8</f>
        <v>24082393.29877573</v>
      </c>
    </row>
    <row r="9" spans="1:5" ht="12">
      <c r="A9" s="9" t="s">
        <v>202</v>
      </c>
      <c r="B9" t="s">
        <v>184</v>
      </c>
      <c r="C9" s="7">
        <v>435558</v>
      </c>
      <c r="D9" s="7"/>
      <c r="E9" s="7">
        <f t="shared" si="0"/>
        <v>435558</v>
      </c>
    </row>
    <row r="10" spans="1:5" ht="12">
      <c r="A10" s="9" t="s">
        <v>203</v>
      </c>
      <c r="B10" t="s">
        <v>185</v>
      </c>
      <c r="C10" s="7">
        <v>16235622.7</v>
      </c>
      <c r="D10" s="7"/>
      <c r="E10" s="7">
        <f t="shared" si="0"/>
        <v>16235622.7</v>
      </c>
    </row>
    <row r="11" spans="1:5" ht="12">
      <c r="A11" s="9" t="s">
        <v>204</v>
      </c>
      <c r="B11" t="s">
        <v>186</v>
      </c>
      <c r="C11" s="7">
        <v>3716930.2</v>
      </c>
      <c r="D11" s="7"/>
      <c r="E11" s="7">
        <f t="shared" si="0"/>
        <v>3716930.2</v>
      </c>
    </row>
    <row r="12" spans="1:5" ht="12">
      <c r="A12" s="9" t="s">
        <v>205</v>
      </c>
      <c r="B12" t="s">
        <v>187</v>
      </c>
      <c r="C12" s="7">
        <v>21197</v>
      </c>
      <c r="D12" s="7"/>
      <c r="E12" s="7">
        <f t="shared" si="0"/>
        <v>21197</v>
      </c>
    </row>
    <row r="13" spans="1:5" ht="12">
      <c r="A13" s="9" t="s">
        <v>206</v>
      </c>
      <c r="B13" t="s">
        <v>188</v>
      </c>
      <c r="C13" s="7">
        <v>136776</v>
      </c>
      <c r="D13" s="7"/>
      <c r="E13" s="7">
        <f t="shared" si="0"/>
        <v>136776</v>
      </c>
    </row>
    <row r="14" spans="1:5" ht="12">
      <c r="A14" s="9" t="s">
        <v>207</v>
      </c>
      <c r="B14" t="s">
        <v>189</v>
      </c>
      <c r="C14" s="7">
        <v>186537</v>
      </c>
      <c r="D14" s="7"/>
      <c r="E14" s="7">
        <f t="shared" si="0"/>
        <v>186537</v>
      </c>
    </row>
    <row r="15" spans="1:5" ht="12">
      <c r="A15" s="9" t="s">
        <v>208</v>
      </c>
      <c r="B15" t="s">
        <v>190</v>
      </c>
      <c r="C15" s="7">
        <v>3273588.8</v>
      </c>
      <c r="D15" s="7"/>
      <c r="E15" s="7">
        <f t="shared" si="0"/>
        <v>3273588.8</v>
      </c>
    </row>
    <row r="16" spans="1:5" ht="12">
      <c r="A16" s="9" t="s">
        <v>209</v>
      </c>
      <c r="B16" t="s">
        <v>191</v>
      </c>
      <c r="C16" s="7">
        <v>1659703.9</v>
      </c>
      <c r="D16" s="7"/>
      <c r="E16" s="7">
        <f t="shared" si="0"/>
        <v>1659703.9</v>
      </c>
    </row>
    <row r="17" spans="1:5" ht="12">
      <c r="A17" s="9" t="s">
        <v>210</v>
      </c>
      <c r="B17" t="s">
        <v>192</v>
      </c>
      <c r="C17" s="7">
        <v>2206243</v>
      </c>
      <c r="D17" s="7"/>
      <c r="E17" s="7">
        <f t="shared" si="0"/>
        <v>2206243</v>
      </c>
    </row>
    <row r="18" spans="1:5" ht="12">
      <c r="A18" s="9" t="s">
        <v>211</v>
      </c>
      <c r="B18" t="s">
        <v>193</v>
      </c>
      <c r="C18" s="7">
        <v>1076547</v>
      </c>
      <c r="D18" s="7"/>
      <c r="E18" s="7">
        <f t="shared" si="0"/>
        <v>1076547</v>
      </c>
    </row>
    <row r="19" spans="1:5" ht="12">
      <c r="A19" s="9" t="s">
        <v>212</v>
      </c>
      <c r="B19" t="s">
        <v>194</v>
      </c>
      <c r="C19" s="7">
        <v>3835615</v>
      </c>
      <c r="D19" s="7"/>
      <c r="E19" s="7">
        <f t="shared" si="0"/>
        <v>3835615</v>
      </c>
    </row>
    <row r="20" spans="1:5" ht="12">
      <c r="A20" s="9" t="s">
        <v>213</v>
      </c>
      <c r="B20" t="s">
        <v>195</v>
      </c>
      <c r="C20" s="7">
        <v>640351</v>
      </c>
      <c r="D20" s="7"/>
      <c r="E20" s="7">
        <f t="shared" si="0"/>
        <v>640351</v>
      </c>
    </row>
    <row r="21" spans="1:5" ht="12">
      <c r="A21" s="9" t="s">
        <v>214</v>
      </c>
      <c r="B21" t="s">
        <v>196</v>
      </c>
      <c r="C21" s="7">
        <v>9359599.22</v>
      </c>
      <c r="D21" s="7"/>
      <c r="E21" s="7">
        <f t="shared" si="0"/>
        <v>9359599.22</v>
      </c>
    </row>
    <row r="22" spans="1:5" ht="12">
      <c r="A22" s="9" t="s">
        <v>215</v>
      </c>
      <c r="B22" t="s">
        <v>197</v>
      </c>
      <c r="C22" s="7">
        <v>50800</v>
      </c>
      <c r="D22" s="7"/>
      <c r="E22" s="7">
        <f t="shared" si="0"/>
        <v>50800</v>
      </c>
    </row>
    <row r="23" spans="1:5" ht="12">
      <c r="A23" s="9" t="s">
        <v>216</v>
      </c>
      <c r="B23" t="s">
        <v>198</v>
      </c>
      <c r="C23" s="7">
        <v>18300</v>
      </c>
      <c r="D23" s="7"/>
      <c r="E23" s="7">
        <f t="shared" si="0"/>
        <v>18300</v>
      </c>
    </row>
    <row r="24" spans="1:5" ht="12">
      <c r="A24" s="9" t="s">
        <v>217</v>
      </c>
      <c r="B24" t="s">
        <v>199</v>
      </c>
      <c r="C24" s="7">
        <v>-130</v>
      </c>
      <c r="D24" s="7"/>
      <c r="E24" s="7">
        <f t="shared" si="0"/>
        <v>-130</v>
      </c>
    </row>
    <row r="25" spans="1:6" ht="14.25">
      <c r="A25" s="9" t="s">
        <v>92</v>
      </c>
      <c r="B25" t="s">
        <v>94</v>
      </c>
      <c r="C25" s="7">
        <v>12408570.1</v>
      </c>
      <c r="D25" s="7">
        <f>-D7-D8-'Financial Data'!E14</f>
        <v>-5495296.559439722</v>
      </c>
      <c r="E25" s="7">
        <f t="shared" si="0"/>
        <v>6913273.540560277</v>
      </c>
      <c r="F25" s="18"/>
    </row>
    <row r="26" spans="1:5" ht="12">
      <c r="A26" s="9" t="s">
        <v>93</v>
      </c>
      <c r="B26" t="s">
        <v>79</v>
      </c>
      <c r="C26" s="2">
        <v>5569212.65</v>
      </c>
      <c r="D26" s="7"/>
      <c r="E26" s="7">
        <f t="shared" si="0"/>
        <v>5569212.65</v>
      </c>
    </row>
    <row r="27" spans="3:5" ht="12.75" thickBot="1">
      <c r="C27" s="15">
        <f>SUM(C7:C26)</f>
        <v>137113392.67</v>
      </c>
      <c r="D27" s="15">
        <f>SUM(D7:D26)</f>
        <v>-163250</v>
      </c>
      <c r="E27" s="15">
        <f>SUM(E7:E26)</f>
        <v>136950142.67</v>
      </c>
    </row>
    <row r="28" ht="12.75" thickTop="1"/>
    <row r="29" ht="14.25">
      <c r="A29" s="19" t="s">
        <v>112</v>
      </c>
    </row>
    <row r="34" spans="1:4" ht="12">
      <c r="A34" s="9" t="s">
        <v>0</v>
      </c>
      <c r="D34" t="s">
        <v>11</v>
      </c>
    </row>
    <row r="35" spans="2:4" ht="12">
      <c r="B35" t="s">
        <v>102</v>
      </c>
      <c r="D35" t="s">
        <v>1</v>
      </c>
    </row>
    <row r="36" spans="2:4" ht="12">
      <c r="B36" t="s">
        <v>104</v>
      </c>
      <c r="D36" t="s">
        <v>2</v>
      </c>
    </row>
    <row r="37" spans="2:4" ht="12">
      <c r="B37" t="s">
        <v>106</v>
      </c>
      <c r="D37" t="s">
        <v>3</v>
      </c>
    </row>
    <row r="38" spans="2:4" ht="12">
      <c r="B38" t="s">
        <v>107</v>
      </c>
      <c r="D38" t="s">
        <v>4</v>
      </c>
    </row>
    <row r="39" spans="2:4" ht="12">
      <c r="B39" t="s">
        <v>109</v>
      </c>
      <c r="D39" t="s">
        <v>5</v>
      </c>
    </row>
    <row r="40" spans="2:4" ht="12">
      <c r="B40" t="s">
        <v>108</v>
      </c>
      <c r="D40" t="s">
        <v>6</v>
      </c>
    </row>
    <row r="41" spans="2:8" ht="12">
      <c r="B41" t="s">
        <v>15</v>
      </c>
      <c r="D41" t="s">
        <v>14</v>
      </c>
      <c r="H41" s="46"/>
    </row>
    <row r="42" spans="4:8" ht="12">
      <c r="D42" t="s">
        <v>7</v>
      </c>
      <c r="H42" s="46"/>
    </row>
    <row r="43" spans="1:8" ht="12">
      <c r="A43" t="s">
        <v>12</v>
      </c>
      <c r="D43" t="s">
        <v>8</v>
      </c>
      <c r="H43" s="46"/>
    </row>
    <row r="44" spans="2:8" ht="12">
      <c r="B44" t="s">
        <v>101</v>
      </c>
      <c r="H44" s="46"/>
    </row>
    <row r="45" ht="12">
      <c r="B45" t="s">
        <v>13</v>
      </c>
    </row>
    <row r="46" ht="12">
      <c r="B46" t="s">
        <v>103</v>
      </c>
    </row>
    <row r="47" ht="12">
      <c r="B47" t="s">
        <v>105</v>
      </c>
    </row>
  </sheetData>
  <sheetProtection/>
  <mergeCells count="3">
    <mergeCell ref="A1:F1"/>
    <mergeCell ref="A2:F2"/>
    <mergeCell ref="A3:F3"/>
  </mergeCells>
  <printOptions/>
  <pageMargins left="0.75" right="0.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1">
      <selection activeCell="E19" sqref="E19"/>
    </sheetView>
  </sheetViews>
  <sheetFormatPr defaultColWidth="8.8515625" defaultRowHeight="12.75"/>
  <cols>
    <col min="1" max="1" width="4.140625" style="0" customWidth="1"/>
    <col min="2" max="2" width="32.421875" style="0" customWidth="1"/>
    <col min="3" max="3" width="12.7109375" style="0" customWidth="1"/>
    <col min="4" max="4" width="5.7109375" style="0" customWidth="1"/>
    <col min="5" max="9" width="12.7109375" style="0" customWidth="1"/>
    <col min="10" max="10" width="2.7109375" style="0" customWidth="1"/>
  </cols>
  <sheetData>
    <row r="1" spans="1:9" ht="15.75">
      <c r="A1" s="62" t="s">
        <v>162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119</v>
      </c>
      <c r="B2" s="62"/>
      <c r="C2" s="62"/>
      <c r="D2" s="62"/>
      <c r="E2" s="62"/>
      <c r="F2" s="62"/>
      <c r="G2" s="62"/>
      <c r="H2" s="62"/>
      <c r="I2" s="62"/>
    </row>
    <row r="4" spans="5:9" ht="12.75">
      <c r="E4" s="64" t="s">
        <v>118</v>
      </c>
      <c r="F4" s="64"/>
      <c r="G4" s="64"/>
      <c r="H4" s="64"/>
      <c r="I4" s="64"/>
    </row>
    <row r="5" spans="5:9" ht="12.75">
      <c r="E5" s="34" t="s">
        <v>133</v>
      </c>
      <c r="F5" s="34" t="s">
        <v>134</v>
      </c>
      <c r="G5" s="34" t="s">
        <v>135</v>
      </c>
      <c r="H5" s="34" t="s">
        <v>136</v>
      </c>
      <c r="I5" s="34" t="s">
        <v>137</v>
      </c>
    </row>
    <row r="6" spans="1:9" ht="12.75">
      <c r="A6" t="s">
        <v>158</v>
      </c>
      <c r="E6" s="2">
        <v>1488</v>
      </c>
      <c r="F6" s="2">
        <v>1488</v>
      </c>
      <c r="G6" s="2">
        <v>1488</v>
      </c>
      <c r="H6" s="2">
        <v>1488</v>
      </c>
      <c r="I6" s="2">
        <v>1488</v>
      </c>
    </row>
    <row r="7" spans="1:9" ht="12.75">
      <c r="A7" t="s">
        <v>116</v>
      </c>
      <c r="E7" s="2"/>
      <c r="F7" s="2"/>
      <c r="G7" s="2"/>
      <c r="H7" s="2"/>
      <c r="I7" s="2"/>
    </row>
    <row r="8" spans="2:9" ht="12.75">
      <c r="B8" t="s">
        <v>114</v>
      </c>
      <c r="E8" s="2">
        <v>45</v>
      </c>
      <c r="F8" s="2">
        <v>45</v>
      </c>
      <c r="G8" s="2">
        <v>45</v>
      </c>
      <c r="H8" s="2">
        <v>45</v>
      </c>
      <c r="I8" s="2">
        <v>45</v>
      </c>
    </row>
    <row r="9" spans="2:9" ht="12.75">
      <c r="B9" t="s">
        <v>115</v>
      </c>
      <c r="E9" s="2">
        <v>212</v>
      </c>
      <c r="F9" s="2">
        <v>212</v>
      </c>
      <c r="G9" s="2">
        <v>212</v>
      </c>
      <c r="H9" s="2">
        <v>212</v>
      </c>
      <c r="I9" s="2">
        <v>212</v>
      </c>
    </row>
    <row r="10" spans="2:9" ht="12.75">
      <c r="B10" t="s">
        <v>117</v>
      </c>
      <c r="E10" s="2">
        <v>120</v>
      </c>
      <c r="F10" s="2">
        <v>120</v>
      </c>
      <c r="G10" s="2">
        <v>120</v>
      </c>
      <c r="H10" s="2">
        <v>120</v>
      </c>
      <c r="I10" s="2">
        <v>120</v>
      </c>
    </row>
    <row r="11" spans="1:10" ht="12.75">
      <c r="A11" t="s">
        <v>21</v>
      </c>
      <c r="E11" s="2">
        <f>205+21</f>
        <v>226</v>
      </c>
      <c r="F11" s="2">
        <f>443+44</f>
        <v>487</v>
      </c>
      <c r="G11" s="2">
        <f>130+13</f>
        <v>143</v>
      </c>
      <c r="H11" s="2">
        <f>250+25</f>
        <v>275</v>
      </c>
      <c r="I11" s="2"/>
      <c r="J11" s="2"/>
    </row>
    <row r="12" spans="1:10" ht="12.75">
      <c r="A12" t="s">
        <v>20</v>
      </c>
      <c r="E12" s="2"/>
      <c r="F12" s="2"/>
      <c r="G12" s="2"/>
      <c r="H12" s="2"/>
      <c r="I12" s="2"/>
      <c r="J12" s="2"/>
    </row>
    <row r="13" spans="2:10" ht="12.75">
      <c r="B13" t="s">
        <v>139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/>
    </row>
    <row r="14" spans="2:10" ht="12.75">
      <c r="B14" t="s">
        <v>113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/>
    </row>
    <row r="15" spans="2:10" ht="14.25">
      <c r="B15" t="s">
        <v>123</v>
      </c>
      <c r="E15" s="2">
        <f>E6*0.01+2</f>
        <v>16.880000000000003</v>
      </c>
      <c r="F15" s="2">
        <f>F6*0.01+2</f>
        <v>16.880000000000003</v>
      </c>
      <c r="G15" s="2">
        <f>G6*0.01+2</f>
        <v>16.880000000000003</v>
      </c>
      <c r="H15" s="2">
        <f>H6*0.01+2</f>
        <v>16.880000000000003</v>
      </c>
      <c r="I15" s="2">
        <f>I6*0.01+2</f>
        <v>16.880000000000003</v>
      </c>
      <c r="J15" s="2"/>
    </row>
    <row r="16" spans="5:10" ht="12.75">
      <c r="E16" s="2"/>
      <c r="F16" s="2"/>
      <c r="G16" s="2"/>
      <c r="H16" s="2"/>
      <c r="I16" s="2"/>
      <c r="J16" s="2"/>
    </row>
    <row r="17" spans="2:10" ht="13.5" thickBot="1">
      <c r="B17" t="s">
        <v>157</v>
      </c>
      <c r="E17" s="6">
        <f>SUM(E6:E16)</f>
        <v>2212.88</v>
      </c>
      <c r="F17" s="6">
        <f>SUM(F6:F16)</f>
        <v>2473.88</v>
      </c>
      <c r="G17" s="6">
        <f>SUM(G6:G16)</f>
        <v>2129.88</v>
      </c>
      <c r="H17" s="6">
        <f>SUM(H6:H16)</f>
        <v>2261.88</v>
      </c>
      <c r="I17" s="6">
        <f>SUM(I6:I16)</f>
        <v>1986.88</v>
      </c>
      <c r="J17" s="2"/>
    </row>
    <row r="18" spans="5:10" ht="13.5" thickTop="1">
      <c r="E18" s="2"/>
      <c r="F18" s="2"/>
      <c r="G18" s="2"/>
      <c r="H18" s="2"/>
      <c r="I18" s="2"/>
      <c r="J18" s="2"/>
    </row>
    <row r="19" spans="1:11" ht="14.25">
      <c r="A19" s="26">
        <v>1</v>
      </c>
      <c r="B19" t="s">
        <v>22</v>
      </c>
      <c r="E19" s="23">
        <f>'Financial Data'!F27</f>
        <v>797401</v>
      </c>
      <c r="F19" s="22"/>
      <c r="G19" s="22"/>
      <c r="H19" s="22"/>
      <c r="I19" s="22"/>
      <c r="J19" s="22"/>
      <c r="K19" s="11"/>
    </row>
    <row r="20" spans="2:11" ht="12.75">
      <c r="B20" t="s">
        <v>122</v>
      </c>
      <c r="E20" s="24">
        <f>'Analysis - Dollars'!C7+'Analysis - Dollars'!C8</f>
        <v>76282371.1</v>
      </c>
      <c r="F20" s="11"/>
      <c r="G20" s="11"/>
      <c r="H20" s="11"/>
      <c r="I20" s="10"/>
      <c r="J20" s="22"/>
      <c r="K20" s="11"/>
    </row>
    <row r="21" spans="2:11" ht="12.75">
      <c r="B21" t="s">
        <v>145</v>
      </c>
      <c r="E21" s="25">
        <f>E19/E20</f>
        <v>0.010453280207489514</v>
      </c>
      <c r="F21" s="11"/>
      <c r="G21" s="11"/>
      <c r="H21" s="11"/>
      <c r="I21" s="10"/>
      <c r="J21" s="22"/>
      <c r="K21" s="11"/>
    </row>
    <row r="22" spans="5:11" ht="12.75">
      <c r="E22" s="24"/>
      <c r="F22" s="11"/>
      <c r="G22" s="11"/>
      <c r="H22" s="11"/>
      <c r="I22" s="10"/>
      <c r="J22" s="22"/>
      <c r="K22" s="11"/>
    </row>
    <row r="23" spans="5:11" ht="12.75">
      <c r="E23" s="24"/>
      <c r="F23" s="11"/>
      <c r="G23" s="11"/>
      <c r="H23" s="11"/>
      <c r="I23" s="10"/>
      <c r="J23" s="22"/>
      <c r="K23" s="11"/>
    </row>
    <row r="24" spans="3:11" ht="12.75">
      <c r="C24" s="65" t="s">
        <v>131</v>
      </c>
      <c r="D24" s="66"/>
      <c r="E24" s="66"/>
      <c r="F24" s="66"/>
      <c r="G24" s="66"/>
      <c r="H24" s="67"/>
      <c r="I24" s="10"/>
      <c r="J24" s="22"/>
      <c r="K24" s="11"/>
    </row>
    <row r="25" spans="3:10" ht="12.75">
      <c r="C25" s="53"/>
      <c r="D25" s="27"/>
      <c r="E25" s="45"/>
      <c r="F25" s="45"/>
      <c r="G25" s="49" t="s">
        <v>23</v>
      </c>
      <c r="H25" s="49" t="s">
        <v>26</v>
      </c>
      <c r="I25" s="2"/>
      <c r="J25" s="2"/>
    </row>
    <row r="26" spans="3:10" ht="12.75">
      <c r="C26" s="28"/>
      <c r="D26" s="29"/>
      <c r="E26" s="45" t="s">
        <v>165</v>
      </c>
      <c r="F26" s="45" t="s">
        <v>132</v>
      </c>
      <c r="G26" s="49" t="s">
        <v>24</v>
      </c>
      <c r="H26" s="50" t="s">
        <v>27</v>
      </c>
      <c r="I26" s="2"/>
      <c r="J26" s="2"/>
    </row>
    <row r="27" spans="2:10" ht="14.25">
      <c r="B27" s="59"/>
      <c r="C27" s="57" t="s">
        <v>28</v>
      </c>
      <c r="D27" s="58"/>
      <c r="E27" s="48" t="s">
        <v>164</v>
      </c>
      <c r="F27" s="48" t="s">
        <v>166</v>
      </c>
      <c r="G27" s="47" t="s">
        <v>25</v>
      </c>
      <c r="H27" s="56" t="s">
        <v>29</v>
      </c>
      <c r="I27" s="2"/>
      <c r="J27" s="2"/>
    </row>
    <row r="28" spans="3:10" ht="12.75">
      <c r="C28" s="32" t="s">
        <v>36</v>
      </c>
      <c r="D28" s="22"/>
      <c r="E28" s="31">
        <f>SUM(I6:I14)</f>
        <v>1970</v>
      </c>
      <c r="F28" s="33">
        <f>I17</f>
        <v>1986.88</v>
      </c>
      <c r="G28" s="55">
        <f aca="true" t="shared" si="0" ref="G28:G33">F28-E28</f>
        <v>16.88000000000011</v>
      </c>
      <c r="H28" s="39">
        <v>1061</v>
      </c>
      <c r="J28" s="2"/>
    </row>
    <row r="29" spans="3:10" ht="12.75">
      <c r="C29" s="32" t="s">
        <v>135</v>
      </c>
      <c r="D29" s="22"/>
      <c r="E29" s="31">
        <f>E28+130</f>
        <v>2100</v>
      </c>
      <c r="F29" s="33">
        <f>G17</f>
        <v>2129.88</v>
      </c>
      <c r="G29" s="43">
        <f t="shared" si="0"/>
        <v>29.88000000000011</v>
      </c>
      <c r="H29" s="33">
        <v>2375</v>
      </c>
      <c r="I29" s="17"/>
      <c r="J29" s="2"/>
    </row>
    <row r="30" spans="3:10" ht="12.75">
      <c r="C30" s="32" t="s">
        <v>37</v>
      </c>
      <c r="D30" s="22"/>
      <c r="E30" s="31">
        <f>E28+50</f>
        <v>2020</v>
      </c>
      <c r="F30" s="33">
        <f>I17</f>
        <v>1986.88</v>
      </c>
      <c r="G30" s="43">
        <f t="shared" si="0"/>
        <v>-33.11999999999989</v>
      </c>
      <c r="H30" s="33">
        <v>938</v>
      </c>
      <c r="J30" s="2"/>
    </row>
    <row r="31" spans="3:10" ht="12.75">
      <c r="C31" s="32" t="s">
        <v>101</v>
      </c>
      <c r="D31" s="22"/>
      <c r="E31" s="31">
        <f>E28+205</f>
        <v>2175</v>
      </c>
      <c r="F31" s="33">
        <f>E17</f>
        <v>2212.88</v>
      </c>
      <c r="G31" s="43">
        <f t="shared" si="0"/>
        <v>37.88000000000011</v>
      </c>
      <c r="H31" s="33">
        <f>81+135+242+37+220+252+1+181+52+24+27+123+3+42+11+374+60+14+23</f>
        <v>1902</v>
      </c>
      <c r="J31" s="2"/>
    </row>
    <row r="32" spans="3:10" ht="12.75">
      <c r="C32" s="32" t="s">
        <v>134</v>
      </c>
      <c r="D32" s="22"/>
      <c r="E32" s="31">
        <f>E28+443</f>
        <v>2413</v>
      </c>
      <c r="F32" s="33">
        <f>F17</f>
        <v>2473.88</v>
      </c>
      <c r="G32" s="43">
        <f t="shared" si="0"/>
        <v>60.88000000000011</v>
      </c>
      <c r="H32" s="33">
        <f>3221-1902</f>
        <v>1319</v>
      </c>
      <c r="J32" s="2"/>
    </row>
    <row r="33" spans="3:10" ht="12.75">
      <c r="C33" s="32" t="s">
        <v>38</v>
      </c>
      <c r="D33" s="22"/>
      <c r="E33" s="31">
        <f>E28</f>
        <v>1970</v>
      </c>
      <c r="F33" s="33">
        <f>I17</f>
        <v>1986.88</v>
      </c>
      <c r="G33" s="43">
        <f t="shared" si="0"/>
        <v>16.88000000000011</v>
      </c>
      <c r="H33" s="33">
        <v>586</v>
      </c>
      <c r="J33" s="2"/>
    </row>
    <row r="34" spans="3:10" ht="12.75">
      <c r="C34" s="32" t="s">
        <v>39</v>
      </c>
      <c r="D34" s="22"/>
      <c r="E34" s="31"/>
      <c r="F34" s="33"/>
      <c r="G34" s="32"/>
      <c r="H34" s="33"/>
      <c r="J34" s="2"/>
    </row>
    <row r="35" spans="3:10" ht="12.75">
      <c r="C35" s="30" t="s">
        <v>124</v>
      </c>
      <c r="D35" s="11"/>
      <c r="E35" s="31">
        <f>E28+75</f>
        <v>2045</v>
      </c>
      <c r="F35" s="33">
        <f>I17</f>
        <v>1986.88</v>
      </c>
      <c r="G35" s="43">
        <f aca="true" t="shared" si="1" ref="G35:G43">F35-E35</f>
        <v>-58.11999999999989</v>
      </c>
      <c r="H35" s="33">
        <f>604</f>
        <v>604</v>
      </c>
      <c r="J35" s="2"/>
    </row>
    <row r="36" spans="3:10" ht="12.75">
      <c r="C36" s="30" t="s">
        <v>125</v>
      </c>
      <c r="D36" s="11"/>
      <c r="E36" s="31">
        <f>E28+100</f>
        <v>2070</v>
      </c>
      <c r="F36" s="33">
        <f>I17</f>
        <v>1986.88</v>
      </c>
      <c r="G36" s="43">
        <f t="shared" si="1"/>
        <v>-83.11999999999989</v>
      </c>
      <c r="H36" s="33">
        <f>65+53</f>
        <v>118</v>
      </c>
      <c r="J36" s="2"/>
    </row>
    <row r="37" spans="3:10" ht="12.75">
      <c r="C37" s="30" t="s">
        <v>126</v>
      </c>
      <c r="D37" s="11"/>
      <c r="E37" s="31">
        <f>E28+100</f>
        <v>2070</v>
      </c>
      <c r="F37" s="33">
        <f>I17</f>
        <v>1986.88</v>
      </c>
      <c r="G37" s="43">
        <f t="shared" si="1"/>
        <v>-83.11999999999989</v>
      </c>
      <c r="H37" s="33">
        <f>121+89</f>
        <v>210</v>
      </c>
      <c r="J37" s="2"/>
    </row>
    <row r="38" spans="1:10" ht="12.75">
      <c r="A38" s="4"/>
      <c r="C38" s="30" t="s">
        <v>42</v>
      </c>
      <c r="D38" s="11"/>
      <c r="E38" s="31">
        <f>E28+75</f>
        <v>2045</v>
      </c>
      <c r="F38" s="33">
        <f>I17</f>
        <v>1986.88</v>
      </c>
      <c r="G38" s="43">
        <f t="shared" si="1"/>
        <v>-58.11999999999989</v>
      </c>
      <c r="H38" s="33">
        <v>269</v>
      </c>
      <c r="J38" s="2"/>
    </row>
    <row r="39" spans="3:10" ht="12.75">
      <c r="C39" s="30" t="s">
        <v>127</v>
      </c>
      <c r="D39" s="11"/>
      <c r="E39" s="31">
        <f>E28</f>
        <v>1970</v>
      </c>
      <c r="F39" s="33">
        <f>I17</f>
        <v>1986.88</v>
      </c>
      <c r="G39" s="43">
        <f t="shared" si="1"/>
        <v>16.88000000000011</v>
      </c>
      <c r="H39" s="33">
        <f>2689-604-118-210-269</f>
        <v>1488</v>
      </c>
      <c r="J39" s="2"/>
    </row>
    <row r="40" spans="3:10" ht="12.75">
      <c r="C40" s="35" t="s">
        <v>176</v>
      </c>
      <c r="D40" s="22"/>
      <c r="E40" s="31"/>
      <c r="F40" s="33"/>
      <c r="G40" s="43">
        <f t="shared" si="1"/>
        <v>0</v>
      </c>
      <c r="H40" s="33"/>
      <c r="J40" s="2"/>
    </row>
    <row r="41" spans="3:10" ht="14.25">
      <c r="C41" s="30" t="s">
        <v>128</v>
      </c>
      <c r="D41" s="11"/>
      <c r="E41" s="31">
        <f>E28</f>
        <v>1970</v>
      </c>
      <c r="F41" s="33">
        <f>I17</f>
        <v>1986.88</v>
      </c>
      <c r="G41" s="43">
        <f t="shared" si="1"/>
        <v>16.88000000000011</v>
      </c>
      <c r="H41" s="33">
        <f>3070-H42-H43</f>
        <v>1450.4333333333334</v>
      </c>
      <c r="I41" s="18"/>
      <c r="J41" s="2"/>
    </row>
    <row r="42" spans="3:10" ht="12.75">
      <c r="C42" s="30" t="s">
        <v>129</v>
      </c>
      <c r="D42" s="11"/>
      <c r="E42" s="31">
        <f>E28+40</f>
        <v>2010</v>
      </c>
      <c r="F42" s="33">
        <f>I17</f>
        <v>1986.88</v>
      </c>
      <c r="G42" s="43">
        <f t="shared" si="1"/>
        <v>-23.11999999999989</v>
      </c>
      <c r="H42" s="33">
        <f>184748/(40*3)</f>
        <v>1539.5666666666666</v>
      </c>
      <c r="J42" s="2"/>
    </row>
    <row r="43" spans="1:10" ht="12.75">
      <c r="A43" s="4"/>
      <c r="C43" s="30" t="s">
        <v>130</v>
      </c>
      <c r="D43" s="11"/>
      <c r="E43" s="31">
        <f>E28+100</f>
        <v>2070</v>
      </c>
      <c r="F43" s="33">
        <f>I17</f>
        <v>1986.88</v>
      </c>
      <c r="G43" s="43">
        <f t="shared" si="1"/>
        <v>-83.11999999999989</v>
      </c>
      <c r="H43" s="33">
        <v>80</v>
      </c>
      <c r="J43" s="2"/>
    </row>
    <row r="44" spans="3:10" ht="12.75">
      <c r="C44" s="32" t="s">
        <v>179</v>
      </c>
      <c r="D44" s="22"/>
      <c r="E44" s="31"/>
      <c r="F44" s="33"/>
      <c r="G44" s="32"/>
      <c r="H44" s="33"/>
      <c r="J44" s="2"/>
    </row>
    <row r="45" spans="3:10" ht="14.25">
      <c r="C45" s="30" t="s">
        <v>128</v>
      </c>
      <c r="D45" s="11"/>
      <c r="E45" s="31">
        <f>E28</f>
        <v>1970</v>
      </c>
      <c r="F45" s="33">
        <f>I17</f>
        <v>1986.88</v>
      </c>
      <c r="G45" s="43">
        <f>F45-E45</f>
        <v>16.88000000000011</v>
      </c>
      <c r="H45" s="33">
        <f>2826-H46</f>
        <v>1411.6666666666667</v>
      </c>
      <c r="I45" s="18"/>
      <c r="J45" s="2"/>
    </row>
    <row r="46" spans="3:10" ht="12.75">
      <c r="C46" s="30" t="s">
        <v>129</v>
      </c>
      <c r="D46" s="11"/>
      <c r="E46" s="31">
        <f>E28+40</f>
        <v>2010</v>
      </c>
      <c r="F46" s="33">
        <f>I17</f>
        <v>1986.88</v>
      </c>
      <c r="G46" s="43">
        <f>F46-E46</f>
        <v>-23.11999999999989</v>
      </c>
      <c r="H46" s="33">
        <f>169720/(40*3)</f>
        <v>1414.3333333333333</v>
      </c>
      <c r="J46" s="2"/>
    </row>
    <row r="47" spans="3:10" ht="12.75">
      <c r="C47" s="32" t="s">
        <v>136</v>
      </c>
      <c r="D47" s="11"/>
      <c r="E47" s="31">
        <f>E28+250</f>
        <v>2220</v>
      </c>
      <c r="F47" s="33">
        <f>H17</f>
        <v>2261.88</v>
      </c>
      <c r="G47" s="43">
        <f>F47-E47</f>
        <v>41.88000000000011</v>
      </c>
      <c r="H47" s="33">
        <v>489</v>
      </c>
      <c r="J47" s="2"/>
    </row>
    <row r="48" spans="3:8" ht="12.75">
      <c r="C48" s="32" t="s">
        <v>9</v>
      </c>
      <c r="D48" s="11"/>
      <c r="E48" s="32"/>
      <c r="F48" s="40"/>
      <c r="G48" s="32"/>
      <c r="H48" s="33"/>
    </row>
    <row r="49" spans="1:8" ht="12.75">
      <c r="A49" s="4"/>
      <c r="C49" s="36" t="s">
        <v>40</v>
      </c>
      <c r="D49" s="11"/>
      <c r="E49" s="43">
        <f>E28+100</f>
        <v>2070</v>
      </c>
      <c r="F49" s="41">
        <f>I17</f>
        <v>1986.88</v>
      </c>
      <c r="G49" s="43">
        <f>F49-E49</f>
        <v>-83.11999999999989</v>
      </c>
      <c r="H49" s="33"/>
    </row>
    <row r="50" spans="3:8" ht="12">
      <c r="C50" s="36" t="s">
        <v>41</v>
      </c>
      <c r="D50" s="11"/>
      <c r="E50" s="43">
        <f>E28+50</f>
        <v>2020</v>
      </c>
      <c r="F50" s="41">
        <f>I17</f>
        <v>1986.88</v>
      </c>
      <c r="G50" s="43">
        <f>F50-E50</f>
        <v>-33.11999999999989</v>
      </c>
      <c r="H50" s="33"/>
    </row>
    <row r="51" spans="3:8" ht="12">
      <c r="C51" s="37" t="s">
        <v>10</v>
      </c>
      <c r="D51" s="38"/>
      <c r="E51" s="44">
        <f>E28</f>
        <v>1970</v>
      </c>
      <c r="F51" s="42">
        <f>I17</f>
        <v>1986.88</v>
      </c>
      <c r="G51" s="44">
        <f>F51-E51</f>
        <v>16.88000000000011</v>
      </c>
      <c r="H51" s="54"/>
    </row>
    <row r="53" spans="2:3" ht="14.25">
      <c r="B53" s="52" t="s">
        <v>31</v>
      </c>
      <c r="C53" s="51" t="s">
        <v>30</v>
      </c>
    </row>
    <row r="54" spans="1:3" ht="15">
      <c r="A54" s="4"/>
      <c r="B54" s="52"/>
      <c r="C54" s="51"/>
    </row>
    <row r="59" ht="12.75">
      <c r="A59" s="4"/>
    </row>
    <row r="64" ht="12.75">
      <c r="A64" s="4"/>
    </row>
    <row r="69" ht="12.75">
      <c r="A69" s="4"/>
    </row>
    <row r="74" ht="12.75">
      <c r="A74" s="4"/>
    </row>
  </sheetData>
  <sheetProtection/>
  <mergeCells count="4">
    <mergeCell ref="E4:I4"/>
    <mergeCell ref="A1:I1"/>
    <mergeCell ref="A2:I2"/>
    <mergeCell ref="C24:H24"/>
  </mergeCells>
  <printOptions/>
  <pageMargins left="0.25" right="0.25" top="1" bottom="1" header="0.5" footer="0.5"/>
  <pageSetup fitToHeight="1" fitToWidth="1" horizontalDpi="600" verticalDpi="600" orientation="portrait" scale="87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PageLayoutView="0" workbookViewId="0" topLeftCell="A1">
      <selection activeCell="L15" sqref="L15"/>
    </sheetView>
  </sheetViews>
  <sheetFormatPr defaultColWidth="8.8515625" defaultRowHeight="12.75"/>
  <cols>
    <col min="1" max="1" width="3.421875" style="0" customWidth="1"/>
    <col min="2" max="2" width="18.28125" style="0" customWidth="1"/>
    <col min="3" max="3" width="12.7109375" style="0" customWidth="1"/>
    <col min="4" max="4" width="6.421875" style="0" customWidth="1"/>
    <col min="5" max="5" width="12.7109375" style="0" customWidth="1"/>
    <col min="6" max="6" width="11.421875" style="0" customWidth="1"/>
    <col min="7" max="7" width="11.28125" style="0" customWidth="1"/>
    <col min="8" max="8" width="11.421875" style="0" customWidth="1"/>
    <col min="9" max="9" width="8.00390625" style="0" customWidth="1"/>
    <col min="10" max="10" width="2.7109375" style="0" customWidth="1"/>
  </cols>
  <sheetData>
    <row r="1" spans="1:9" ht="15.75">
      <c r="A1" s="62" t="s">
        <v>162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119</v>
      </c>
      <c r="B2" s="62"/>
      <c r="C2" s="62"/>
      <c r="D2" s="62"/>
      <c r="E2" s="62"/>
      <c r="F2" s="62"/>
      <c r="G2" s="62"/>
      <c r="H2" s="62"/>
      <c r="I2" s="62"/>
    </row>
    <row r="4" spans="5:9" ht="12.75">
      <c r="E4" s="64" t="s">
        <v>118</v>
      </c>
      <c r="F4" s="64"/>
      <c r="G4" s="64"/>
      <c r="H4" s="64"/>
      <c r="I4" s="64"/>
    </row>
    <row r="5" spans="5:9" ht="12.75">
      <c r="E5" s="34" t="s">
        <v>133</v>
      </c>
      <c r="F5" s="34" t="s">
        <v>134</v>
      </c>
      <c r="G5" s="34" t="s">
        <v>135</v>
      </c>
      <c r="H5" s="34" t="s">
        <v>136</v>
      </c>
      <c r="I5" s="34" t="s">
        <v>137</v>
      </c>
    </row>
    <row r="6" spans="1:9" ht="12.75">
      <c r="A6" t="s">
        <v>158</v>
      </c>
      <c r="E6" s="2">
        <v>1488</v>
      </c>
      <c r="F6" s="2">
        <v>1488</v>
      </c>
      <c r="G6" s="2">
        <v>1488</v>
      </c>
      <c r="H6" s="2">
        <v>1488</v>
      </c>
      <c r="I6" s="2">
        <v>1488</v>
      </c>
    </row>
    <row r="7" spans="1:9" ht="12.75">
      <c r="A7" t="s">
        <v>116</v>
      </c>
      <c r="E7" s="2"/>
      <c r="F7" s="2"/>
      <c r="G7" s="2"/>
      <c r="H7" s="2"/>
      <c r="I7" s="2"/>
    </row>
    <row r="8" spans="2:9" ht="12.75">
      <c r="B8" t="s">
        <v>114</v>
      </c>
      <c r="E8" s="2">
        <v>45</v>
      </c>
      <c r="F8" s="2">
        <v>45</v>
      </c>
      <c r="G8" s="2">
        <v>45</v>
      </c>
      <c r="H8" s="2">
        <v>45</v>
      </c>
      <c r="I8" s="2">
        <v>45</v>
      </c>
    </row>
    <row r="9" spans="2:9" ht="12.75">
      <c r="B9" t="s">
        <v>115</v>
      </c>
      <c r="E9" s="2">
        <v>212</v>
      </c>
      <c r="F9" s="2">
        <v>212</v>
      </c>
      <c r="G9" s="2">
        <v>212</v>
      </c>
      <c r="H9" s="2">
        <v>212</v>
      </c>
      <c r="I9" s="2">
        <v>212</v>
      </c>
    </row>
    <row r="10" spans="2:9" ht="12.75">
      <c r="B10" t="s">
        <v>117</v>
      </c>
      <c r="E10" s="2">
        <v>120</v>
      </c>
      <c r="F10" s="2">
        <v>120</v>
      </c>
      <c r="G10" s="2">
        <v>120</v>
      </c>
      <c r="H10" s="2">
        <v>120</v>
      </c>
      <c r="I10" s="2">
        <v>120</v>
      </c>
    </row>
    <row r="11" spans="1:10" ht="12.75">
      <c r="A11" t="s">
        <v>49</v>
      </c>
      <c r="E11" s="2">
        <f>205</f>
        <v>205</v>
      </c>
      <c r="F11" s="2">
        <f>443</f>
        <v>443</v>
      </c>
      <c r="G11" s="2">
        <f>130</f>
        <v>130</v>
      </c>
      <c r="H11" s="2">
        <f>250</f>
        <v>250</v>
      </c>
      <c r="I11" s="2"/>
      <c r="J11" s="2"/>
    </row>
    <row r="12" spans="1:10" ht="12.75">
      <c r="A12" t="s">
        <v>20</v>
      </c>
      <c r="E12" s="2"/>
      <c r="F12" s="2"/>
      <c r="G12" s="2"/>
      <c r="H12" s="2"/>
      <c r="I12" s="2"/>
      <c r="J12" s="2"/>
    </row>
    <row r="13" spans="2:10" ht="12.75">
      <c r="B13" t="s">
        <v>139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/>
    </row>
    <row r="14" spans="2:10" ht="12.75">
      <c r="B14" t="s">
        <v>113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/>
    </row>
    <row r="15" spans="2:10" ht="14.25">
      <c r="B15" t="s">
        <v>123</v>
      </c>
      <c r="E15" s="2">
        <v>17</v>
      </c>
      <c r="F15" s="2">
        <v>17</v>
      </c>
      <c r="G15" s="2">
        <v>17</v>
      </c>
      <c r="H15" s="2">
        <v>17</v>
      </c>
      <c r="I15" s="2">
        <v>17</v>
      </c>
      <c r="J15" s="2"/>
    </row>
    <row r="16" spans="2:10" ht="12.75">
      <c r="B16" t="s">
        <v>43</v>
      </c>
      <c r="E16" s="2">
        <v>5</v>
      </c>
      <c r="F16" s="2">
        <v>5</v>
      </c>
      <c r="G16" s="2">
        <v>5</v>
      </c>
      <c r="H16" s="2">
        <v>5</v>
      </c>
      <c r="I16" s="2">
        <v>5</v>
      </c>
      <c r="J16" s="2"/>
    </row>
    <row r="17" spans="2:10" ht="13.5" thickBot="1">
      <c r="B17" t="s">
        <v>157</v>
      </c>
      <c r="E17" s="6">
        <f>SUM(E6:E16)</f>
        <v>2197</v>
      </c>
      <c r="F17" s="6">
        <f>SUM(F6:F16)</f>
        <v>2435</v>
      </c>
      <c r="G17" s="6">
        <f>SUM(G6:G16)</f>
        <v>2122</v>
      </c>
      <c r="H17" s="6">
        <f>SUM(H6:H16)</f>
        <v>2242</v>
      </c>
      <c r="I17" s="6">
        <f>SUM(I6:I16)</f>
        <v>1992</v>
      </c>
      <c r="J17" s="2"/>
    </row>
    <row r="18" spans="5:10" ht="13.5" thickTop="1">
      <c r="E18" s="2"/>
      <c r="F18" s="2"/>
      <c r="G18" s="2"/>
      <c r="H18" s="2"/>
      <c r="I18" s="2"/>
      <c r="J18" s="2"/>
    </row>
    <row r="19" spans="1:11" ht="14.25">
      <c r="A19" s="26">
        <v>1</v>
      </c>
      <c r="B19" t="s">
        <v>22</v>
      </c>
      <c r="E19" s="23">
        <f>'Financial Data'!F27+'Detail FY07 Resource Fees'!D29</f>
        <v>1166459.48</v>
      </c>
      <c r="F19" s="22"/>
      <c r="G19" s="22"/>
      <c r="H19" s="22"/>
      <c r="I19" s="22"/>
      <c r="J19" s="22"/>
      <c r="K19" s="11"/>
    </row>
    <row r="20" spans="2:11" ht="12.75">
      <c r="B20" t="s">
        <v>122</v>
      </c>
      <c r="E20" s="24">
        <f>'Analysis - Dollars'!C7+'Analysis - Dollars'!C8</f>
        <v>76282371.1</v>
      </c>
      <c r="F20" s="11"/>
      <c r="G20" s="11"/>
      <c r="H20" s="11"/>
      <c r="I20" s="10"/>
      <c r="J20" s="22"/>
      <c r="K20" s="11"/>
    </row>
    <row r="21" spans="2:11" ht="12.75">
      <c r="B21" t="s">
        <v>145</v>
      </c>
      <c r="E21" s="25">
        <f>E19/E20</f>
        <v>0.015291337476530014</v>
      </c>
      <c r="F21" s="11"/>
      <c r="G21" s="11"/>
      <c r="H21" s="11"/>
      <c r="I21" s="10"/>
      <c r="J21" s="22"/>
      <c r="K21" s="11"/>
    </row>
    <row r="22" spans="5:11" ht="6" customHeight="1">
      <c r="E22" s="24"/>
      <c r="F22" s="11"/>
      <c r="G22" s="11"/>
      <c r="H22" s="11"/>
      <c r="I22" s="10"/>
      <c r="J22" s="22"/>
      <c r="K22" s="11"/>
    </row>
    <row r="23" spans="5:11" ht="8.25" customHeight="1">
      <c r="E23" s="24"/>
      <c r="F23" s="11"/>
      <c r="G23" s="11"/>
      <c r="H23" s="11"/>
      <c r="I23" s="10"/>
      <c r="J23" s="22"/>
      <c r="K23" s="11"/>
    </row>
    <row r="24" spans="3:11" ht="12.75">
      <c r="C24" s="65" t="s">
        <v>131</v>
      </c>
      <c r="D24" s="66"/>
      <c r="E24" s="66"/>
      <c r="F24" s="66"/>
      <c r="G24" s="66"/>
      <c r="H24" s="67"/>
      <c r="I24" s="10"/>
      <c r="J24" s="22"/>
      <c r="K24" s="11"/>
    </row>
    <row r="25" spans="3:10" ht="12.75">
      <c r="C25" s="53"/>
      <c r="D25" s="27"/>
      <c r="E25" s="45"/>
      <c r="F25" s="45"/>
      <c r="G25" s="49" t="s">
        <v>23</v>
      </c>
      <c r="H25" s="49" t="s">
        <v>26</v>
      </c>
      <c r="I25" s="2"/>
      <c r="J25" s="2"/>
    </row>
    <row r="26" spans="3:10" ht="12.75">
      <c r="C26" s="28"/>
      <c r="D26" s="29"/>
      <c r="E26" s="45" t="s">
        <v>165</v>
      </c>
      <c r="F26" s="45" t="s">
        <v>132</v>
      </c>
      <c r="G26" s="49" t="s">
        <v>24</v>
      </c>
      <c r="H26" s="50" t="s">
        <v>27</v>
      </c>
      <c r="I26" s="2"/>
      <c r="J26" s="2"/>
    </row>
    <row r="27" spans="2:10" ht="14.25">
      <c r="B27" s="59"/>
      <c r="C27" s="57" t="s">
        <v>28</v>
      </c>
      <c r="D27" s="58"/>
      <c r="E27" s="48" t="s">
        <v>164</v>
      </c>
      <c r="F27" s="48" t="s">
        <v>166</v>
      </c>
      <c r="G27" s="47" t="s">
        <v>25</v>
      </c>
      <c r="H27" s="56" t="s">
        <v>29</v>
      </c>
      <c r="I27" s="2"/>
      <c r="J27" s="2"/>
    </row>
    <row r="28" spans="3:10" ht="12.75">
      <c r="C28" s="32" t="s">
        <v>36</v>
      </c>
      <c r="D28" s="22"/>
      <c r="E28" s="31">
        <f>SUM(I6:I14)</f>
        <v>1970</v>
      </c>
      <c r="F28" s="33">
        <f>I17</f>
        <v>1992</v>
      </c>
      <c r="G28" s="55">
        <f aca="true" t="shared" si="0" ref="G28:G33">F28-E28</f>
        <v>22</v>
      </c>
      <c r="H28" s="39">
        <v>1061</v>
      </c>
      <c r="J28" s="2"/>
    </row>
    <row r="29" spans="3:10" ht="12.75">
      <c r="C29" s="32" t="s">
        <v>135</v>
      </c>
      <c r="D29" s="22"/>
      <c r="E29" s="31">
        <f>E28+130</f>
        <v>2100</v>
      </c>
      <c r="F29" s="33">
        <f>G17</f>
        <v>2122</v>
      </c>
      <c r="G29" s="43">
        <f t="shared" si="0"/>
        <v>22</v>
      </c>
      <c r="H29" s="33">
        <v>2375</v>
      </c>
      <c r="I29" s="17"/>
      <c r="J29" s="2"/>
    </row>
    <row r="30" spans="3:10" ht="12.75">
      <c r="C30" s="32" t="s">
        <v>37</v>
      </c>
      <c r="D30" s="22"/>
      <c r="E30" s="31">
        <f>E28+50</f>
        <v>2020</v>
      </c>
      <c r="F30" s="33">
        <f>I17</f>
        <v>1992</v>
      </c>
      <c r="G30" s="43">
        <f t="shared" si="0"/>
        <v>-28</v>
      </c>
      <c r="H30" s="33">
        <v>938</v>
      </c>
      <c r="J30" s="2"/>
    </row>
    <row r="31" spans="3:10" ht="12.75">
      <c r="C31" s="32" t="s">
        <v>101</v>
      </c>
      <c r="D31" s="22"/>
      <c r="E31" s="31">
        <f>E28+205</f>
        <v>2175</v>
      </c>
      <c r="F31" s="33">
        <f>E17</f>
        <v>2197</v>
      </c>
      <c r="G31" s="43">
        <f t="shared" si="0"/>
        <v>22</v>
      </c>
      <c r="H31" s="33">
        <f>81+135+242+37+220+252+1+181+52+24+27+123+3+42+11+374+60+14+23</f>
        <v>1902</v>
      </c>
      <c r="J31" s="2"/>
    </row>
    <row r="32" spans="3:10" ht="12.75">
      <c r="C32" s="32" t="s">
        <v>134</v>
      </c>
      <c r="D32" s="22"/>
      <c r="E32" s="31">
        <f>E28+443</f>
        <v>2413</v>
      </c>
      <c r="F32" s="33">
        <f>F17</f>
        <v>2435</v>
      </c>
      <c r="G32" s="43">
        <f t="shared" si="0"/>
        <v>22</v>
      </c>
      <c r="H32" s="33">
        <f>3221-1902</f>
        <v>1319</v>
      </c>
      <c r="J32" s="2"/>
    </row>
    <row r="33" spans="3:10" ht="12.75">
      <c r="C33" s="32" t="s">
        <v>38</v>
      </c>
      <c r="D33" s="22"/>
      <c r="E33" s="31">
        <f>E28</f>
        <v>1970</v>
      </c>
      <c r="F33" s="33">
        <f>I17</f>
        <v>1992</v>
      </c>
      <c r="G33" s="43">
        <f t="shared" si="0"/>
        <v>22</v>
      </c>
      <c r="H33" s="33">
        <v>586</v>
      </c>
      <c r="J33" s="2"/>
    </row>
    <row r="34" spans="3:10" ht="12.75">
      <c r="C34" s="32" t="s">
        <v>39</v>
      </c>
      <c r="D34" s="22"/>
      <c r="E34" s="31"/>
      <c r="F34" s="33"/>
      <c r="G34" s="32"/>
      <c r="H34" s="33"/>
      <c r="J34" s="2"/>
    </row>
    <row r="35" spans="3:10" ht="12.75">
      <c r="C35" s="30" t="s">
        <v>124</v>
      </c>
      <c r="D35" s="11"/>
      <c r="E35" s="31">
        <f>E28+75</f>
        <v>2045</v>
      </c>
      <c r="F35" s="33">
        <f>I17</f>
        <v>1992</v>
      </c>
      <c r="G35" s="43">
        <f aca="true" t="shared" si="1" ref="G35:G43">F35-E35</f>
        <v>-53</v>
      </c>
      <c r="H35" s="33">
        <f>604</f>
        <v>604</v>
      </c>
      <c r="J35" s="2"/>
    </row>
    <row r="36" spans="3:10" ht="12.75">
      <c r="C36" s="30" t="s">
        <v>125</v>
      </c>
      <c r="D36" s="11"/>
      <c r="E36" s="31">
        <f>E28+100</f>
        <v>2070</v>
      </c>
      <c r="F36" s="33">
        <f>I17</f>
        <v>1992</v>
      </c>
      <c r="G36" s="43">
        <f t="shared" si="1"/>
        <v>-78</v>
      </c>
      <c r="H36" s="33">
        <f>65+53</f>
        <v>118</v>
      </c>
      <c r="J36" s="2"/>
    </row>
    <row r="37" spans="3:10" ht="12.75">
      <c r="C37" s="30" t="s">
        <v>126</v>
      </c>
      <c r="D37" s="11"/>
      <c r="E37" s="31">
        <f>E28+100</f>
        <v>2070</v>
      </c>
      <c r="F37" s="33">
        <f>I17</f>
        <v>1992</v>
      </c>
      <c r="G37" s="43">
        <f t="shared" si="1"/>
        <v>-78</v>
      </c>
      <c r="H37" s="33">
        <f>121+89</f>
        <v>210</v>
      </c>
      <c r="J37" s="2"/>
    </row>
    <row r="38" spans="1:10" ht="12.75">
      <c r="A38" s="4"/>
      <c r="C38" s="30" t="s">
        <v>42</v>
      </c>
      <c r="D38" s="11"/>
      <c r="E38" s="31">
        <f>E28+75</f>
        <v>2045</v>
      </c>
      <c r="F38" s="33">
        <f>I17</f>
        <v>1992</v>
      </c>
      <c r="G38" s="43">
        <f t="shared" si="1"/>
        <v>-53</v>
      </c>
      <c r="H38" s="33">
        <v>269</v>
      </c>
      <c r="J38" s="2"/>
    </row>
    <row r="39" spans="3:10" ht="12.75">
      <c r="C39" s="30" t="s">
        <v>127</v>
      </c>
      <c r="D39" s="11"/>
      <c r="E39" s="31">
        <f>E28</f>
        <v>1970</v>
      </c>
      <c r="F39" s="33">
        <f>I17</f>
        <v>1992</v>
      </c>
      <c r="G39" s="43">
        <f t="shared" si="1"/>
        <v>22</v>
      </c>
      <c r="H39" s="33">
        <f>2689-604-118-210-269</f>
        <v>1488</v>
      </c>
      <c r="J39" s="2"/>
    </row>
    <row r="40" spans="3:10" ht="12.75">
      <c r="C40" s="35" t="s">
        <v>176</v>
      </c>
      <c r="D40" s="22"/>
      <c r="E40" s="31"/>
      <c r="F40" s="33"/>
      <c r="G40" s="43">
        <f t="shared" si="1"/>
        <v>0</v>
      </c>
      <c r="H40" s="33"/>
      <c r="J40" s="2"/>
    </row>
    <row r="41" spans="3:10" ht="14.25">
      <c r="C41" s="30" t="s">
        <v>128</v>
      </c>
      <c r="D41" s="11"/>
      <c r="E41" s="31">
        <f>E28</f>
        <v>1970</v>
      </c>
      <c r="F41" s="33">
        <f>I17</f>
        <v>1992</v>
      </c>
      <c r="G41" s="43">
        <f t="shared" si="1"/>
        <v>22</v>
      </c>
      <c r="H41" s="33">
        <f>3070-H42-H43</f>
        <v>1450.4333333333334</v>
      </c>
      <c r="I41" s="18"/>
      <c r="J41" s="2"/>
    </row>
    <row r="42" spans="3:10" ht="12.75">
      <c r="C42" s="30" t="s">
        <v>129</v>
      </c>
      <c r="D42" s="11"/>
      <c r="E42" s="31">
        <f>E28+40</f>
        <v>2010</v>
      </c>
      <c r="F42" s="33">
        <f>I17</f>
        <v>1992</v>
      </c>
      <c r="G42" s="43">
        <f t="shared" si="1"/>
        <v>-18</v>
      </c>
      <c r="H42" s="33">
        <f>184748/(40*3)</f>
        <v>1539.5666666666666</v>
      </c>
      <c r="J42" s="2"/>
    </row>
    <row r="43" spans="1:10" ht="12.75">
      <c r="A43" s="4"/>
      <c r="C43" s="30" t="s">
        <v>130</v>
      </c>
      <c r="D43" s="11"/>
      <c r="E43" s="31">
        <f>E28+100</f>
        <v>2070</v>
      </c>
      <c r="F43" s="33">
        <f>I17</f>
        <v>1992</v>
      </c>
      <c r="G43" s="43">
        <f t="shared" si="1"/>
        <v>-78</v>
      </c>
      <c r="H43" s="33">
        <v>80</v>
      </c>
      <c r="J43" s="2"/>
    </row>
    <row r="44" spans="3:10" ht="12.75">
      <c r="C44" s="32" t="s">
        <v>179</v>
      </c>
      <c r="D44" s="22"/>
      <c r="E44" s="31"/>
      <c r="F44" s="33"/>
      <c r="G44" s="32"/>
      <c r="H44" s="33"/>
      <c r="J44" s="2"/>
    </row>
    <row r="45" spans="3:10" ht="14.25">
      <c r="C45" s="30" t="s">
        <v>128</v>
      </c>
      <c r="D45" s="11"/>
      <c r="E45" s="31">
        <f>E28</f>
        <v>1970</v>
      </c>
      <c r="F45" s="33">
        <f>I17</f>
        <v>1992</v>
      </c>
      <c r="G45" s="43">
        <f>F45-E45</f>
        <v>22</v>
      </c>
      <c r="H45" s="33">
        <f>2826-H46</f>
        <v>1411.6666666666667</v>
      </c>
      <c r="I45" s="18"/>
      <c r="J45" s="2"/>
    </row>
    <row r="46" spans="3:10" ht="12.75">
      <c r="C46" s="30" t="s">
        <v>129</v>
      </c>
      <c r="D46" s="11"/>
      <c r="E46" s="31">
        <f>E28+40</f>
        <v>2010</v>
      </c>
      <c r="F46" s="33">
        <f>I17</f>
        <v>1992</v>
      </c>
      <c r="G46" s="43">
        <f>F46-E46</f>
        <v>-18</v>
      </c>
      <c r="H46" s="33">
        <f>169720/(40*3)</f>
        <v>1414.3333333333333</v>
      </c>
      <c r="J46" s="2"/>
    </row>
    <row r="47" spans="3:10" ht="12.75">
      <c r="C47" s="32" t="s">
        <v>136</v>
      </c>
      <c r="D47" s="11"/>
      <c r="E47" s="31">
        <f>E28+250</f>
        <v>2220</v>
      </c>
      <c r="F47" s="33">
        <f>H17</f>
        <v>2242</v>
      </c>
      <c r="G47" s="43">
        <f>F47-E47</f>
        <v>22</v>
      </c>
      <c r="H47" s="33">
        <v>489</v>
      </c>
      <c r="J47" s="2"/>
    </row>
    <row r="48" spans="3:8" ht="12.75">
      <c r="C48" s="32" t="s">
        <v>9</v>
      </c>
      <c r="D48" s="11"/>
      <c r="E48" s="32"/>
      <c r="F48" s="40"/>
      <c r="G48" s="32"/>
      <c r="H48" s="33"/>
    </row>
    <row r="49" spans="1:8" ht="12.75">
      <c r="A49" s="4"/>
      <c r="C49" s="36" t="s">
        <v>40</v>
      </c>
      <c r="D49" s="11"/>
      <c r="E49" s="43">
        <f>E28+100</f>
        <v>2070</v>
      </c>
      <c r="F49" s="41">
        <f>I17</f>
        <v>1992</v>
      </c>
      <c r="G49" s="43">
        <f>F49-E49</f>
        <v>-78</v>
      </c>
      <c r="H49" s="33"/>
    </row>
    <row r="50" spans="3:8" ht="12.75">
      <c r="C50" s="36" t="s">
        <v>41</v>
      </c>
      <c r="D50" s="11"/>
      <c r="E50" s="43">
        <f>E28+50</f>
        <v>2020</v>
      </c>
      <c r="F50" s="41">
        <f>I17</f>
        <v>1992</v>
      </c>
      <c r="G50" s="43">
        <f>F50-E50</f>
        <v>-28</v>
      </c>
      <c r="H50" s="33"/>
    </row>
    <row r="51" spans="3:8" ht="12">
      <c r="C51" s="37" t="s">
        <v>10</v>
      </c>
      <c r="D51" s="38"/>
      <c r="E51" s="44">
        <f>E28</f>
        <v>1970</v>
      </c>
      <c r="F51" s="42">
        <f>I17</f>
        <v>1992</v>
      </c>
      <c r="G51" s="44">
        <f>F51-E51</f>
        <v>22</v>
      </c>
      <c r="H51" s="54"/>
    </row>
    <row r="52" ht="10.5" customHeight="1"/>
    <row r="53" spans="2:3" ht="14.25">
      <c r="B53" s="52" t="s">
        <v>31</v>
      </c>
      <c r="C53" s="51" t="s">
        <v>30</v>
      </c>
    </row>
    <row r="54" spans="1:3" ht="15">
      <c r="A54" s="4"/>
      <c r="B54" s="52"/>
      <c r="C54" s="51"/>
    </row>
    <row r="59" ht="12.75">
      <c r="A59" s="4"/>
    </row>
    <row r="64" ht="12.75">
      <c r="A64" s="4"/>
    </row>
    <row r="69" ht="12.75">
      <c r="A69" s="4"/>
    </row>
    <row r="74" ht="12.75">
      <c r="A74" s="4"/>
    </row>
  </sheetData>
  <sheetProtection/>
  <mergeCells count="4">
    <mergeCell ref="A1:I1"/>
    <mergeCell ref="A2:I2"/>
    <mergeCell ref="E4:I4"/>
    <mergeCell ref="C24:H24"/>
  </mergeCells>
  <printOptions/>
  <pageMargins left="0.52" right="0.38" top="1" bottom="0.77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1" width="11.421875" style="0" customWidth="1"/>
    <col min="2" max="2" width="15.28125" style="0" customWidth="1"/>
    <col min="3" max="3" width="14.421875" style="0" customWidth="1"/>
  </cols>
  <sheetData>
    <row r="1" spans="1:3" ht="12">
      <c r="A1" s="68" t="s">
        <v>162</v>
      </c>
      <c r="B1" s="68"/>
      <c r="C1" s="68"/>
    </row>
    <row r="2" spans="1:3" ht="12">
      <c r="A2" s="68" t="s">
        <v>34</v>
      </c>
      <c r="B2" s="68"/>
      <c r="C2" s="68"/>
    </row>
    <row r="3" spans="1:4" ht="12">
      <c r="A3" s="68" t="s">
        <v>32</v>
      </c>
      <c r="B3" s="68"/>
      <c r="C3" s="68"/>
      <c r="D3" s="68"/>
    </row>
    <row r="6" spans="1:3" ht="12">
      <c r="A6" t="s">
        <v>47</v>
      </c>
      <c r="C6" s="7">
        <v>185000</v>
      </c>
    </row>
    <row r="7" spans="1:3" ht="12">
      <c r="A7" t="s">
        <v>48</v>
      </c>
      <c r="C7" s="7">
        <v>100000</v>
      </c>
    </row>
    <row r="8" spans="1:3" ht="12">
      <c r="A8" t="s">
        <v>179</v>
      </c>
      <c r="C8" s="7">
        <v>175000</v>
      </c>
    </row>
    <row r="9" spans="1:3" ht="12">
      <c r="A9" t="s">
        <v>135</v>
      </c>
      <c r="C9" s="7">
        <v>800000</v>
      </c>
    </row>
    <row r="10" spans="1:3" ht="12">
      <c r="A10" t="s">
        <v>45</v>
      </c>
      <c r="C10" s="7">
        <v>1060000</v>
      </c>
    </row>
    <row r="11" spans="1:3" ht="12">
      <c r="A11" t="s">
        <v>46</v>
      </c>
      <c r="C11" s="7">
        <v>1520000</v>
      </c>
    </row>
    <row r="12" spans="1:3" ht="12">
      <c r="A12" t="s">
        <v>33</v>
      </c>
      <c r="C12" s="7">
        <v>27000</v>
      </c>
    </row>
    <row r="13" spans="1:3" ht="12">
      <c r="A13" t="s">
        <v>35</v>
      </c>
      <c r="C13" s="7">
        <v>240000</v>
      </c>
    </row>
  </sheetData>
  <sheetProtection/>
  <mergeCells count="3">
    <mergeCell ref="A3:D3"/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0" sqref="D30"/>
    </sheetView>
  </sheetViews>
  <sheetFormatPr defaultColWidth="8.8515625" defaultRowHeight="12.75"/>
  <cols>
    <col min="1" max="1" width="3.421875" style="0" customWidth="1"/>
    <col min="2" max="2" width="19.8515625" style="0" customWidth="1"/>
    <col min="3" max="3" width="8.8515625" style="0" customWidth="1"/>
    <col min="4" max="4" width="13.140625" style="0" bestFit="1" customWidth="1"/>
    <col min="5" max="5" width="12.8515625" style="0" customWidth="1"/>
  </cols>
  <sheetData>
    <row r="2" spans="4:5" ht="12">
      <c r="D2" s="1" t="s">
        <v>163</v>
      </c>
      <c r="E2" s="1"/>
    </row>
    <row r="3" spans="4:5" ht="12">
      <c r="D3" s="1" t="s">
        <v>120</v>
      </c>
      <c r="E3" s="1" t="s">
        <v>166</v>
      </c>
    </row>
    <row r="4" spans="4:5" ht="12">
      <c r="D4" s="1" t="s">
        <v>165</v>
      </c>
      <c r="E4" s="1" t="s">
        <v>164</v>
      </c>
    </row>
    <row r="5" spans="1:6" ht="12">
      <c r="A5" t="s">
        <v>168</v>
      </c>
      <c r="D5" s="7">
        <f>SUM('Analysis - 10% rem added - 1'!I6:I14)</f>
        <v>1970</v>
      </c>
      <c r="E5" s="7">
        <f>'Analysis - 10% rem added - 1'!I17</f>
        <v>1986.88</v>
      </c>
      <c r="F5" s="20"/>
    </row>
    <row r="6" spans="1:5" ht="12">
      <c r="A6" t="s">
        <v>149</v>
      </c>
      <c r="D6" s="7">
        <f>'Analysis - 10% rem added - 1'!G17</f>
        <v>2129.88</v>
      </c>
      <c r="E6" s="7">
        <f>'Analysis - 10% rem added - 1'!G17</f>
        <v>2129.88</v>
      </c>
    </row>
    <row r="7" spans="1:5" ht="12">
      <c r="A7" t="s">
        <v>160</v>
      </c>
      <c r="D7" s="7">
        <f>D5</f>
        <v>1970</v>
      </c>
      <c r="E7" s="7">
        <f>'Analysis - 10% rem added - 1'!I17</f>
        <v>1986.88</v>
      </c>
    </row>
    <row r="8" spans="1:5" ht="12">
      <c r="A8" t="s">
        <v>167</v>
      </c>
      <c r="D8" s="7">
        <f>'Analysis - 10% rem added - 1'!E17</f>
        <v>2212.88</v>
      </c>
      <c r="E8" s="7">
        <f>'Analysis - 10% rem added - 1'!E17</f>
        <v>2212.88</v>
      </c>
    </row>
    <row r="9" spans="1:5" ht="12">
      <c r="A9" t="s">
        <v>148</v>
      </c>
      <c r="D9" s="7">
        <f>'Analysis - 10% rem added - 1'!F17</f>
        <v>2473.88</v>
      </c>
      <c r="E9" s="7">
        <f>'Analysis - 10% rem added - 1'!F17</f>
        <v>2473.88</v>
      </c>
    </row>
    <row r="10" spans="1:5" ht="12">
      <c r="A10" t="s">
        <v>169</v>
      </c>
      <c r="D10" s="7">
        <f>D5</f>
        <v>1970</v>
      </c>
      <c r="E10" s="7">
        <f>'Analysis - 10% rem added - 1'!I17</f>
        <v>1986.88</v>
      </c>
    </row>
    <row r="11" spans="1:5" ht="12">
      <c r="A11" t="s">
        <v>170</v>
      </c>
      <c r="D11" s="7"/>
      <c r="E11" s="7"/>
    </row>
    <row r="12" spans="2:5" ht="12">
      <c r="B12" t="s">
        <v>171</v>
      </c>
      <c r="D12" s="7">
        <f>D5+75</f>
        <v>2045</v>
      </c>
      <c r="E12" s="7">
        <f>'Analysis - 10% rem added - 1'!I17</f>
        <v>1986.88</v>
      </c>
    </row>
    <row r="13" spans="2:5" ht="12">
      <c r="B13" t="s">
        <v>172</v>
      </c>
      <c r="D13" s="7">
        <f>D5+100</f>
        <v>2070</v>
      </c>
      <c r="E13" s="7">
        <f>'Analysis - 10% rem added - 1'!I17</f>
        <v>1986.88</v>
      </c>
    </row>
    <row r="14" spans="2:5" ht="12">
      <c r="B14" t="s">
        <v>173</v>
      </c>
      <c r="D14" s="7">
        <f>D5+100</f>
        <v>2070</v>
      </c>
      <c r="E14" s="7">
        <f>'Analysis - 10% rem added - 1'!I17</f>
        <v>1986.88</v>
      </c>
    </row>
    <row r="15" spans="2:5" ht="12">
      <c r="B15" t="s">
        <v>174</v>
      </c>
      <c r="D15" s="7">
        <f>D5+75</f>
        <v>2045</v>
      </c>
      <c r="E15" s="7">
        <f>'Analysis - 10% rem added - 1'!I17</f>
        <v>1986.88</v>
      </c>
    </row>
    <row r="16" spans="2:5" ht="12">
      <c r="B16" t="s">
        <v>175</v>
      </c>
      <c r="D16" s="7">
        <f>D5</f>
        <v>1970</v>
      </c>
      <c r="E16" s="7">
        <f>'Analysis - 10% rem added - 1'!I17</f>
        <v>1986.88</v>
      </c>
    </row>
    <row r="17" spans="1:5" ht="12">
      <c r="A17" t="s">
        <v>176</v>
      </c>
      <c r="D17" s="7"/>
      <c r="E17" s="7"/>
    </row>
    <row r="18" spans="2:5" ht="12">
      <c r="B18" t="s">
        <v>177</v>
      </c>
      <c r="D18" s="7">
        <f>D5</f>
        <v>1970</v>
      </c>
      <c r="E18" s="7">
        <f>'Analysis - 10% rem added - 1'!I17</f>
        <v>1986.88</v>
      </c>
    </row>
    <row r="19" spans="2:5" ht="12">
      <c r="B19" t="s">
        <v>178</v>
      </c>
      <c r="D19" s="7">
        <f>D5+40</f>
        <v>2010</v>
      </c>
      <c r="E19" s="7">
        <f>'Analysis - 10% rem added - 1'!I17</f>
        <v>1986.88</v>
      </c>
    </row>
    <row r="20" spans="2:5" ht="12">
      <c r="B20" t="s">
        <v>138</v>
      </c>
      <c r="D20" s="7">
        <f>D5+100</f>
        <v>2070</v>
      </c>
      <c r="E20" s="7">
        <f>'Analysis - 10% rem added - 1'!I17</f>
        <v>1986.88</v>
      </c>
    </row>
    <row r="21" spans="1:5" ht="12">
      <c r="A21" t="s">
        <v>179</v>
      </c>
      <c r="D21" s="7"/>
      <c r="E21" s="7"/>
    </row>
    <row r="22" spans="2:5" ht="12">
      <c r="B22" t="s">
        <v>177</v>
      </c>
      <c r="D22" s="7">
        <f>D5</f>
        <v>1970</v>
      </c>
      <c r="E22" s="7">
        <f>'Analysis - 10% rem added - 1'!I17</f>
        <v>1986.88</v>
      </c>
    </row>
    <row r="23" spans="2:5" ht="12">
      <c r="B23" t="s">
        <v>178</v>
      </c>
      <c r="D23" s="7">
        <f>D5+40</f>
        <v>2010</v>
      </c>
      <c r="E23" s="7">
        <f>'Analysis - 10% rem added - 1'!I17</f>
        <v>1986.88</v>
      </c>
    </row>
    <row r="24" spans="4:5" ht="12">
      <c r="D24" s="7"/>
      <c r="E24" s="7"/>
    </row>
    <row r="25" spans="4:5" ht="12">
      <c r="D25" s="7"/>
      <c r="E25" s="7"/>
    </row>
    <row r="26" spans="4:5" ht="12">
      <c r="D26" s="7"/>
      <c r="E26" s="7"/>
    </row>
    <row r="27" spans="4:5" ht="12">
      <c r="D27" s="7"/>
      <c r="E27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9" sqref="D29"/>
    </sheetView>
  </sheetViews>
  <sheetFormatPr defaultColWidth="8.8515625" defaultRowHeight="12.75"/>
  <cols>
    <col min="1" max="2" width="8.8515625" style="0" customWidth="1"/>
    <col min="3" max="3" width="32.8515625" style="0" bestFit="1" customWidth="1"/>
    <col min="4" max="4" width="18.00390625" style="0" bestFit="1" customWidth="1"/>
  </cols>
  <sheetData>
    <row r="1" spans="1:4" ht="12">
      <c r="A1" t="s">
        <v>16</v>
      </c>
      <c r="B1" t="s">
        <v>181</v>
      </c>
      <c r="C1" t="s">
        <v>17</v>
      </c>
      <c r="D1" t="s">
        <v>18</v>
      </c>
    </row>
    <row r="2" spans="1:4" ht="12">
      <c r="A2">
        <v>2007</v>
      </c>
      <c r="B2">
        <v>1200</v>
      </c>
      <c r="C2" t="s">
        <v>19</v>
      </c>
      <c r="D2">
        <v>0</v>
      </c>
    </row>
    <row r="3" spans="1:4" ht="12">
      <c r="A3">
        <v>2007</v>
      </c>
      <c r="B3">
        <v>1203</v>
      </c>
      <c r="C3" t="s">
        <v>219</v>
      </c>
      <c r="D3" s="8">
        <v>65675.75</v>
      </c>
    </row>
    <row r="4" spans="1:4" ht="12">
      <c r="A4">
        <v>2007</v>
      </c>
      <c r="B4">
        <v>1209</v>
      </c>
      <c r="C4" t="s">
        <v>221</v>
      </c>
      <c r="D4" s="8">
        <v>20500</v>
      </c>
    </row>
    <row r="5" spans="1:4" ht="12">
      <c r="A5">
        <v>2007</v>
      </c>
      <c r="B5">
        <v>1211</v>
      </c>
      <c r="C5" t="s">
        <v>223</v>
      </c>
      <c r="D5" s="8">
        <v>5394363.25</v>
      </c>
    </row>
    <row r="6" spans="1:4" ht="12">
      <c r="A6">
        <v>2007</v>
      </c>
      <c r="B6">
        <v>1213</v>
      </c>
      <c r="C6" t="s">
        <v>50</v>
      </c>
      <c r="D6" s="8">
        <v>1648750</v>
      </c>
    </row>
    <row r="7" spans="1:4" ht="12">
      <c r="A7">
        <v>2007</v>
      </c>
      <c r="B7">
        <v>1214</v>
      </c>
      <c r="C7" t="s">
        <v>52</v>
      </c>
      <c r="D7" s="8">
        <v>287041</v>
      </c>
    </row>
    <row r="8" spans="1:4" ht="12">
      <c r="A8">
        <v>2007</v>
      </c>
      <c r="B8">
        <v>1215</v>
      </c>
      <c r="C8" t="s">
        <v>54</v>
      </c>
      <c r="D8" s="8">
        <v>829386.1</v>
      </c>
    </row>
    <row r="9" spans="1:4" ht="12">
      <c r="A9">
        <v>2007</v>
      </c>
      <c r="B9">
        <v>1217</v>
      </c>
      <c r="C9" t="s">
        <v>44</v>
      </c>
      <c r="D9" s="8">
        <v>101515.5</v>
      </c>
    </row>
    <row r="10" spans="1:4" ht="12">
      <c r="A10">
        <v>2007</v>
      </c>
      <c r="B10">
        <v>1226</v>
      </c>
      <c r="C10" t="s">
        <v>58</v>
      </c>
      <c r="D10" s="8">
        <v>96675</v>
      </c>
    </row>
    <row r="11" spans="1:4" ht="12">
      <c r="A11">
        <v>2007</v>
      </c>
      <c r="B11">
        <v>1232</v>
      </c>
      <c r="C11" t="s">
        <v>60</v>
      </c>
      <c r="D11" s="8">
        <v>1569734.7</v>
      </c>
    </row>
    <row r="12" spans="1:4" ht="12">
      <c r="A12">
        <v>2007</v>
      </c>
      <c r="B12">
        <v>1233</v>
      </c>
      <c r="C12" t="s">
        <v>62</v>
      </c>
      <c r="D12" s="8">
        <v>621010.3</v>
      </c>
    </row>
    <row r="13" spans="1:4" ht="12">
      <c r="A13">
        <v>2007</v>
      </c>
      <c r="B13">
        <v>1234</v>
      </c>
      <c r="C13" t="s">
        <v>64</v>
      </c>
      <c r="D13" s="8">
        <v>1004423</v>
      </c>
    </row>
    <row r="14" spans="1:4" ht="12">
      <c r="A14">
        <v>2007</v>
      </c>
      <c r="B14">
        <v>1244</v>
      </c>
      <c r="C14" t="s">
        <v>66</v>
      </c>
      <c r="D14" s="8">
        <v>7035</v>
      </c>
    </row>
    <row r="15" spans="1:4" ht="12">
      <c r="A15">
        <v>2007</v>
      </c>
      <c r="B15">
        <v>1248</v>
      </c>
      <c r="C15" t="s">
        <v>68</v>
      </c>
      <c r="D15" s="8">
        <v>184748</v>
      </c>
    </row>
    <row r="16" spans="1:4" ht="12">
      <c r="A16">
        <v>2007</v>
      </c>
      <c r="B16">
        <v>1249</v>
      </c>
      <c r="C16" t="s">
        <v>70</v>
      </c>
      <c r="D16" s="8">
        <v>169720</v>
      </c>
    </row>
    <row r="17" spans="1:4" ht="12">
      <c r="A17">
        <v>2007</v>
      </c>
      <c r="B17">
        <v>1250</v>
      </c>
      <c r="C17" t="s">
        <v>72</v>
      </c>
      <c r="D17" s="8">
        <v>141592.5</v>
      </c>
    </row>
    <row r="18" spans="1:4" ht="12">
      <c r="A18">
        <v>2007</v>
      </c>
      <c r="B18">
        <v>1251</v>
      </c>
      <c r="C18" t="s">
        <v>74</v>
      </c>
      <c r="D18" s="8">
        <v>86750</v>
      </c>
    </row>
    <row r="19" spans="1:4" ht="12">
      <c r="A19">
        <v>2007</v>
      </c>
      <c r="B19">
        <v>1253</v>
      </c>
      <c r="C19" t="s">
        <v>76</v>
      </c>
      <c r="D19" s="8">
        <v>163250</v>
      </c>
    </row>
    <row r="20" spans="1:4" ht="12">
      <c r="A20">
        <v>2007</v>
      </c>
      <c r="B20">
        <v>1258</v>
      </c>
      <c r="C20" t="s">
        <v>78</v>
      </c>
      <c r="D20" s="8">
        <v>16400</v>
      </c>
    </row>
    <row r="24" spans="3:4" ht="12">
      <c r="C24" t="s">
        <v>54</v>
      </c>
      <c r="D24" s="8">
        <v>829386.1</v>
      </c>
    </row>
    <row r="25" spans="3:4" ht="12">
      <c r="C25" t="s">
        <v>60</v>
      </c>
      <c r="D25" s="8">
        <v>1569734.7</v>
      </c>
    </row>
    <row r="26" spans="3:4" ht="12">
      <c r="C26" t="s">
        <v>64</v>
      </c>
      <c r="D26" s="8">
        <v>1004423</v>
      </c>
    </row>
    <row r="27" spans="3:4" ht="12">
      <c r="C27" t="s">
        <v>52</v>
      </c>
      <c r="D27" s="8">
        <v>287041</v>
      </c>
    </row>
    <row r="28" ht="12.75" thickBot="1">
      <c r="D28" s="60">
        <f>SUM(D24:D27)</f>
        <v>3690584.8</v>
      </c>
    </row>
    <row r="29" spans="3:4" ht="12.75" thickTop="1">
      <c r="C29" s="14">
        <v>0.1</v>
      </c>
      <c r="D29" s="61">
        <f>D28*0.1</f>
        <v>369058.48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5" sqref="D5"/>
    </sheetView>
  </sheetViews>
  <sheetFormatPr defaultColWidth="8.8515625" defaultRowHeight="12.75"/>
  <cols>
    <col min="1" max="1" width="18.28125" style="0" customWidth="1"/>
    <col min="2" max="2" width="9.140625" style="9" customWidth="1"/>
    <col min="3" max="3" width="1.421875" style="9" customWidth="1"/>
    <col min="4" max="4" width="32.7109375" style="0" bestFit="1" customWidth="1"/>
    <col min="5" max="5" width="18.00390625" style="0" bestFit="1" customWidth="1"/>
    <col min="6" max="6" width="13.8515625" style="0" bestFit="1" customWidth="1"/>
    <col min="7" max="10" width="13.8515625" style="0" customWidth="1"/>
    <col min="11" max="11" width="8.8515625" style="0" customWidth="1"/>
    <col min="12" max="12" width="13.421875" style="0" bestFit="1" customWidth="1"/>
  </cols>
  <sheetData>
    <row r="1" spans="1:9" ht="12">
      <c r="A1" t="s">
        <v>80</v>
      </c>
      <c r="F1" s="1" t="s">
        <v>81</v>
      </c>
      <c r="G1" s="1" t="s">
        <v>81</v>
      </c>
      <c r="H1" s="1" t="s">
        <v>82</v>
      </c>
      <c r="I1" s="1" t="s">
        <v>82</v>
      </c>
    </row>
    <row r="2" spans="6:11" ht="12">
      <c r="F2" s="1" t="s">
        <v>83</v>
      </c>
      <c r="G2" s="1" t="s">
        <v>84</v>
      </c>
      <c r="H2" s="1" t="s">
        <v>83</v>
      </c>
      <c r="I2" s="1" t="s">
        <v>84</v>
      </c>
      <c r="J2" s="1"/>
      <c r="K2" s="1"/>
    </row>
    <row r="3" spans="1:12" ht="12">
      <c r="A3">
        <v>2007</v>
      </c>
      <c r="B3" s="9" t="s">
        <v>222</v>
      </c>
      <c r="D3" t="s">
        <v>223</v>
      </c>
      <c r="E3" s="8">
        <v>5394363.25</v>
      </c>
      <c r="F3" s="7">
        <f>E3*D28</f>
        <v>3957394.261046203</v>
      </c>
      <c r="G3" s="7">
        <f>E3*D29</f>
        <v>577251.298393521</v>
      </c>
      <c r="H3" s="7">
        <f>E3*D30</f>
        <v>412240.5054036112</v>
      </c>
      <c r="I3" s="7">
        <f>E3*D31</f>
        <v>447477.1851566649</v>
      </c>
      <c r="J3" s="7"/>
      <c r="L3" s="8"/>
    </row>
    <row r="4" spans="1:10" ht="12">
      <c r="A4">
        <v>2007</v>
      </c>
      <c r="B4" s="9" t="s">
        <v>55</v>
      </c>
      <c r="D4" t="s">
        <v>56</v>
      </c>
      <c r="E4" s="8">
        <v>101515.5</v>
      </c>
      <c r="F4" s="7">
        <f>E4*D34</f>
        <v>88592.78015035694</v>
      </c>
      <c r="G4" s="7">
        <f>E4*D35</f>
        <v>12922.719849643061</v>
      </c>
      <c r="H4" s="7"/>
      <c r="I4" s="7"/>
      <c r="J4" s="7"/>
    </row>
    <row r="5" spans="1:10" ht="12">
      <c r="A5">
        <v>2007</v>
      </c>
      <c r="B5" s="9" t="s">
        <v>57</v>
      </c>
      <c r="D5" t="s">
        <v>58</v>
      </c>
      <c r="E5" s="8">
        <v>96675</v>
      </c>
      <c r="F5" s="7">
        <f>E5*D34</f>
        <v>84368.46610651336</v>
      </c>
      <c r="G5" s="7">
        <f>E5*D35</f>
        <v>12306.533893486638</v>
      </c>
      <c r="H5" s="7"/>
      <c r="I5" s="7"/>
      <c r="J5" s="7"/>
    </row>
    <row r="6" spans="1:10" ht="12">
      <c r="A6">
        <v>2007</v>
      </c>
      <c r="B6" s="9" t="s">
        <v>67</v>
      </c>
      <c r="D6" t="s">
        <v>68</v>
      </c>
      <c r="E6" s="8">
        <v>184748</v>
      </c>
      <c r="F6" s="7">
        <f>E6*D34</f>
        <v>161229.94958620254</v>
      </c>
      <c r="G6" s="7">
        <f>E6*D35</f>
        <v>23518.05041379746</v>
      </c>
      <c r="H6" s="7"/>
      <c r="I6" s="7"/>
      <c r="J6" s="7"/>
    </row>
    <row r="7" spans="1:10" ht="12">
      <c r="A7">
        <v>2007</v>
      </c>
      <c r="B7" s="9" t="s">
        <v>69</v>
      </c>
      <c r="D7" t="s">
        <v>70</v>
      </c>
      <c r="E7" s="8">
        <v>169720</v>
      </c>
      <c r="F7" s="7">
        <f>E7*D34</f>
        <v>148114.9838903279</v>
      </c>
      <c r="G7" s="7">
        <f>E7*D35</f>
        <v>21605.01610967212</v>
      </c>
      <c r="H7" s="7"/>
      <c r="I7" s="7"/>
      <c r="J7" s="7"/>
    </row>
    <row r="8" spans="1:10" ht="12">
      <c r="A8">
        <v>2007</v>
      </c>
      <c r="B8" s="9" t="s">
        <v>71</v>
      </c>
      <c r="D8" t="s">
        <v>72</v>
      </c>
      <c r="E8" s="8">
        <v>141592.5</v>
      </c>
      <c r="F8" s="7">
        <f>E8*D34</f>
        <v>123568.05831069556</v>
      </c>
      <c r="G8" s="7">
        <f>E8*D35</f>
        <v>18024.44168930444</v>
      </c>
      <c r="H8" s="7"/>
      <c r="I8" s="7"/>
      <c r="J8" s="7"/>
    </row>
    <row r="9" spans="1:10" ht="12">
      <c r="A9">
        <v>2007</v>
      </c>
      <c r="B9" s="9" t="s">
        <v>73</v>
      </c>
      <c r="D9" t="s">
        <v>74</v>
      </c>
      <c r="E9" s="8">
        <v>86750</v>
      </c>
      <c r="F9" s="7">
        <f>E9*D34</f>
        <v>75706.89873017879</v>
      </c>
      <c r="G9" s="7">
        <f>E9*D35</f>
        <v>11043.101269821214</v>
      </c>
      <c r="H9" s="7"/>
      <c r="I9" s="7"/>
      <c r="J9" s="7"/>
    </row>
    <row r="10" spans="1:10" ht="12">
      <c r="A10">
        <v>2007</v>
      </c>
      <c r="B10" s="9" t="s">
        <v>77</v>
      </c>
      <c r="D10" t="s">
        <v>78</v>
      </c>
      <c r="E10" s="8">
        <v>16400</v>
      </c>
      <c r="F10" s="7">
        <f>E10*D34</f>
        <v>14312.312843515067</v>
      </c>
      <c r="G10" s="7">
        <f>E10*D35</f>
        <v>2087.6871564849325</v>
      </c>
      <c r="H10" s="7"/>
      <c r="I10" s="7"/>
      <c r="J10" s="7"/>
    </row>
    <row r="11" spans="5:10" ht="12.75" thickBot="1">
      <c r="E11" s="15">
        <f>SUM(E3:E10)</f>
        <v>6191764.25</v>
      </c>
      <c r="F11" s="15">
        <f>SUM(F3:F10)</f>
        <v>4653287.710663992</v>
      </c>
      <c r="G11" s="15">
        <f>SUM(G3:G10)</f>
        <v>678758.8487757308</v>
      </c>
      <c r="H11" s="15">
        <f>SUM(H3:H10)</f>
        <v>412240.5054036112</v>
      </c>
      <c r="I11" s="15">
        <f>SUM(I3:I10)</f>
        <v>447477.1851566649</v>
      </c>
      <c r="J11" s="7"/>
    </row>
    <row r="12" ht="12.75" thickTop="1"/>
    <row r="13" spans="4:6" ht="12">
      <c r="D13" t="s">
        <v>223</v>
      </c>
      <c r="E13" s="17">
        <f>H11+I11</f>
        <v>859717.6905602762</v>
      </c>
      <c r="F13" s="7" t="s">
        <v>98</v>
      </c>
    </row>
    <row r="14" spans="1:10" ht="12">
      <c r="A14">
        <v>2007</v>
      </c>
      <c r="B14" s="9" t="s">
        <v>75</v>
      </c>
      <c r="D14" t="s">
        <v>76</v>
      </c>
      <c r="E14" s="8">
        <v>163250</v>
      </c>
      <c r="F14" s="7" t="s">
        <v>90</v>
      </c>
      <c r="G14" s="7"/>
      <c r="H14" s="7"/>
      <c r="I14" s="7"/>
      <c r="J14" s="7"/>
    </row>
    <row r="15" spans="1:10" ht="12">
      <c r="A15">
        <v>2007</v>
      </c>
      <c r="B15" s="9" t="s">
        <v>65</v>
      </c>
      <c r="D15" t="s">
        <v>66</v>
      </c>
      <c r="E15" s="8">
        <v>7035</v>
      </c>
      <c r="F15" s="7" t="s">
        <v>91</v>
      </c>
      <c r="G15" s="7"/>
      <c r="H15" s="7"/>
      <c r="I15" s="7"/>
      <c r="J15" s="7"/>
    </row>
    <row r="16" spans="1:12" ht="12">
      <c r="A16">
        <v>2007</v>
      </c>
      <c r="B16" s="9" t="s">
        <v>220</v>
      </c>
      <c r="D16" t="s">
        <v>221</v>
      </c>
      <c r="E16" s="8">
        <v>20500</v>
      </c>
      <c r="F16" s="7" t="s">
        <v>91</v>
      </c>
      <c r="J16" s="7"/>
      <c r="L16" s="8"/>
    </row>
    <row r="17" spans="1:12" ht="12">
      <c r="A17">
        <v>2007</v>
      </c>
      <c r="B17" s="9" t="s">
        <v>218</v>
      </c>
      <c r="D17" t="s">
        <v>219</v>
      </c>
      <c r="E17" s="8">
        <v>65675.75</v>
      </c>
      <c r="F17" s="7" t="s">
        <v>91</v>
      </c>
      <c r="H17" s="7"/>
      <c r="I17" s="7"/>
      <c r="L17" s="8"/>
    </row>
    <row r="18" spans="1:10" ht="12">
      <c r="A18">
        <v>2007</v>
      </c>
      <c r="B18" s="9" t="s">
        <v>224</v>
      </c>
      <c r="D18" t="s">
        <v>50</v>
      </c>
      <c r="E18" s="8">
        <v>1648750</v>
      </c>
      <c r="F18" s="7" t="s">
        <v>91</v>
      </c>
      <c r="G18" s="7"/>
      <c r="H18" s="7"/>
      <c r="I18" s="7"/>
      <c r="J18" s="7"/>
    </row>
    <row r="19" spans="1:10" ht="12">
      <c r="A19">
        <v>2007</v>
      </c>
      <c r="B19" s="9" t="s">
        <v>51</v>
      </c>
      <c r="D19" t="s">
        <v>52</v>
      </c>
      <c r="E19" s="8">
        <v>287041</v>
      </c>
      <c r="F19" s="7" t="s">
        <v>91</v>
      </c>
      <c r="G19" s="7"/>
      <c r="H19" s="7"/>
      <c r="I19" s="7"/>
      <c r="J19" s="7"/>
    </row>
    <row r="20" spans="1:10" ht="12">
      <c r="A20">
        <v>2007</v>
      </c>
      <c r="B20" s="9" t="s">
        <v>53</v>
      </c>
      <c r="D20" t="s">
        <v>54</v>
      </c>
      <c r="E20" s="8">
        <v>829386.1</v>
      </c>
      <c r="F20" s="7" t="s">
        <v>91</v>
      </c>
      <c r="G20" s="7"/>
      <c r="H20" s="7"/>
      <c r="I20" s="7"/>
      <c r="J20" s="7"/>
    </row>
    <row r="21" spans="1:10" ht="12">
      <c r="A21">
        <v>2007</v>
      </c>
      <c r="B21" s="9" t="s">
        <v>59</v>
      </c>
      <c r="D21" t="s">
        <v>60</v>
      </c>
      <c r="E21" s="8">
        <v>1569734.7</v>
      </c>
      <c r="F21" s="7" t="s">
        <v>91</v>
      </c>
      <c r="G21" s="7"/>
      <c r="H21" s="7"/>
      <c r="I21" s="7"/>
      <c r="J21" s="7"/>
    </row>
    <row r="22" spans="1:10" ht="12">
      <c r="A22">
        <v>2007</v>
      </c>
      <c r="B22" s="9" t="s">
        <v>61</v>
      </c>
      <c r="D22" t="s">
        <v>62</v>
      </c>
      <c r="E22" s="8">
        <v>621010.3</v>
      </c>
      <c r="F22" s="7" t="s">
        <v>91</v>
      </c>
      <c r="G22" s="7"/>
      <c r="H22" s="7"/>
      <c r="I22" s="7"/>
      <c r="J22" s="7"/>
    </row>
    <row r="23" spans="1:10" ht="12">
      <c r="A23">
        <v>2007</v>
      </c>
      <c r="B23" s="9" t="s">
        <v>63</v>
      </c>
      <c r="D23" t="s">
        <v>64</v>
      </c>
      <c r="E23" s="8">
        <v>1004423</v>
      </c>
      <c r="F23" s="7" t="s">
        <v>91</v>
      </c>
      <c r="G23" s="7"/>
      <c r="H23" s="7"/>
      <c r="I23" s="7"/>
      <c r="J23" s="7"/>
    </row>
    <row r="24" spans="5:6" ht="12">
      <c r="E24" s="10">
        <f>SUM(E14:E23)</f>
        <v>6216805.85</v>
      </c>
      <c r="F24" s="8"/>
    </row>
    <row r="25" ht="12">
      <c r="E25" s="8"/>
    </row>
    <row r="26" ht="12">
      <c r="F26" s="8" t="s">
        <v>121</v>
      </c>
    </row>
    <row r="27" spans="1:6" ht="12.75">
      <c r="A27" s="4" t="s">
        <v>85</v>
      </c>
      <c r="B27"/>
      <c r="C27"/>
      <c r="F27" s="17">
        <f>SUM(F4:F10)+SUM(G4:G10)</f>
        <v>797401</v>
      </c>
    </row>
    <row r="28" spans="1:6" ht="12">
      <c r="A28" s="11" t="s">
        <v>86</v>
      </c>
      <c r="B28" s="11">
        <v>13814</v>
      </c>
      <c r="C28" s="11"/>
      <c r="D28" s="12">
        <f>B28/$B$32</f>
        <v>0.7336165693043016</v>
      </c>
      <c r="F28" s="21"/>
    </row>
    <row r="29" spans="1:6" ht="12">
      <c r="A29" s="11" t="s">
        <v>87</v>
      </c>
      <c r="B29" s="11">
        <f>1722+293</f>
        <v>2015</v>
      </c>
      <c r="C29" s="11"/>
      <c r="D29" s="12">
        <f>B29/$B$32</f>
        <v>0.10701009028146574</v>
      </c>
      <c r="F29" s="17"/>
    </row>
    <row r="30" spans="1:4" ht="12">
      <c r="A30" s="13" t="s">
        <v>88</v>
      </c>
      <c r="B30" s="11">
        <v>1439</v>
      </c>
      <c r="C30" s="11"/>
      <c r="D30" s="12">
        <f>B30/$B$32</f>
        <v>0.07642060541688794</v>
      </c>
    </row>
    <row r="31" spans="1:6" ht="12">
      <c r="A31" s="13" t="s">
        <v>89</v>
      </c>
      <c r="B31">
        <f>961+601</f>
        <v>1562</v>
      </c>
      <c r="C31"/>
      <c r="D31" s="12">
        <f>B31/$B$32</f>
        <v>0.08295273499734467</v>
      </c>
      <c r="F31" s="8"/>
    </row>
    <row r="32" spans="2:4" ht="12.75" thickBot="1">
      <c r="B32" s="3">
        <f>SUM(B28:B31)</f>
        <v>18830</v>
      </c>
      <c r="C32" s="11"/>
      <c r="D32" s="14"/>
    </row>
    <row r="33" ht="12.75" thickTop="1"/>
    <row r="34" spans="1:4" ht="12">
      <c r="A34" s="11" t="s">
        <v>86</v>
      </c>
      <c r="B34" s="11">
        <v>13814</v>
      </c>
      <c r="D34" s="12">
        <f>B34/B36</f>
        <v>0.8727020026533577</v>
      </c>
    </row>
    <row r="35" spans="1:4" ht="12">
      <c r="A35" s="11" t="s">
        <v>87</v>
      </c>
      <c r="B35" s="11">
        <f>1722+293</f>
        <v>2015</v>
      </c>
      <c r="D35" s="12">
        <f>B35/B36</f>
        <v>0.12729799734664224</v>
      </c>
    </row>
    <row r="36" ht="12.75" thickBot="1">
      <c r="B36" s="3">
        <f>SUM(B34:B35)</f>
        <v>15829</v>
      </c>
    </row>
    <row r="37" ht="12.75" thickTop="1">
      <c r="B37"/>
    </row>
    <row r="38" spans="1:4" ht="12">
      <c r="A38" s="13" t="s">
        <v>88</v>
      </c>
      <c r="B38" s="11">
        <v>1439</v>
      </c>
      <c r="D38" s="12">
        <f>B38/B40</f>
        <v>0.4795068310563146</v>
      </c>
    </row>
    <row r="39" spans="1:4" ht="12">
      <c r="A39" s="13" t="s">
        <v>89</v>
      </c>
      <c r="B39">
        <f>961+601</f>
        <v>1562</v>
      </c>
      <c r="D39" s="12">
        <f>B39/B40</f>
        <v>0.5204931689436855</v>
      </c>
    </row>
    <row r="40" ht="12.75" thickBot="1">
      <c r="B40" s="3">
        <f>SUM(B38:B39)</f>
        <v>3001</v>
      </c>
    </row>
    <row r="41" ht="12.75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:D85"/>
    </sheetView>
  </sheetViews>
  <sheetFormatPr defaultColWidth="8.8515625" defaultRowHeight="12.75"/>
  <sheetData>
    <row r="1" spans="1:4" ht="12.75">
      <c r="A1" t="s">
        <v>146</v>
      </c>
      <c r="D1" s="23"/>
    </row>
    <row r="2" spans="2:4" ht="12.75">
      <c r="B2" t="s">
        <v>147</v>
      </c>
      <c r="C2">
        <v>1801</v>
      </c>
      <c r="D2" s="23"/>
    </row>
    <row r="3" spans="2:4" ht="12.75">
      <c r="B3" t="s">
        <v>148</v>
      </c>
      <c r="C3">
        <v>1341</v>
      </c>
      <c r="D3" s="23"/>
    </row>
    <row r="4" spans="2:4" ht="12.75">
      <c r="B4" t="s">
        <v>149</v>
      </c>
      <c r="C4">
        <v>2346</v>
      </c>
      <c r="D4" s="23"/>
    </row>
    <row r="5" spans="2:4" ht="12.75">
      <c r="B5" t="s">
        <v>136</v>
      </c>
      <c r="C5">
        <v>481</v>
      </c>
      <c r="D5" s="23"/>
    </row>
    <row r="6" spans="2:4" ht="12.75">
      <c r="B6" t="s">
        <v>137</v>
      </c>
      <c r="C6">
        <v>11070</v>
      </c>
      <c r="D6" s="23"/>
    </row>
    <row r="7" spans="3:4" ht="13.5" thickBot="1">
      <c r="C7" s="3">
        <v>17039</v>
      </c>
      <c r="D7" s="2"/>
    </row>
    <row r="8" ht="13.5" thickTop="1">
      <c r="D8" s="2"/>
    </row>
    <row r="9" spans="1:4" ht="12.75">
      <c r="A9" s="4" t="s">
        <v>140</v>
      </c>
      <c r="D9" s="2"/>
    </row>
    <row r="10" spans="2:4" ht="12.75">
      <c r="B10" t="s">
        <v>159</v>
      </c>
      <c r="C10" s="2">
        <v>2177.25</v>
      </c>
      <c r="D10" s="2"/>
    </row>
    <row r="11" spans="2:4" ht="12.75">
      <c r="B11" t="s">
        <v>150</v>
      </c>
      <c r="C11" s="2">
        <v>11070</v>
      </c>
      <c r="D11" s="2"/>
    </row>
    <row r="12" spans="2:4" ht="12.75">
      <c r="B12" t="s">
        <v>145</v>
      </c>
      <c r="C12" s="5">
        <v>0.19668021680216802</v>
      </c>
      <c r="D12" s="2"/>
    </row>
    <row r="13" ht="12.75">
      <c r="D13" s="2"/>
    </row>
    <row r="14" spans="1:4" ht="12.75">
      <c r="A14" s="4" t="s">
        <v>138</v>
      </c>
      <c r="D14" s="2"/>
    </row>
    <row r="15" spans="2:3" ht="12.75">
      <c r="B15" t="s">
        <v>144</v>
      </c>
      <c r="C15" s="2">
        <v>104</v>
      </c>
    </row>
    <row r="16" spans="2:3" ht="12.75">
      <c r="B16" t="s">
        <v>150</v>
      </c>
      <c r="C16" s="2">
        <v>11070</v>
      </c>
    </row>
    <row r="17" spans="2:3" ht="12.75">
      <c r="B17" t="s">
        <v>145</v>
      </c>
      <c r="C17" s="5">
        <v>0.00939476061427281</v>
      </c>
    </row>
    <row r="19" spans="1:3" ht="12.75">
      <c r="A19" s="4" t="s">
        <v>142</v>
      </c>
      <c r="C19" s="2"/>
    </row>
    <row r="20" spans="2:3" ht="12.75">
      <c r="B20" t="s">
        <v>151</v>
      </c>
      <c r="C20" s="2">
        <v>559</v>
      </c>
    </row>
    <row r="21" spans="2:3" ht="12.75">
      <c r="B21" t="s">
        <v>150</v>
      </c>
      <c r="C21" s="2">
        <v>11070</v>
      </c>
    </row>
    <row r="22" spans="2:3" ht="12.75">
      <c r="B22" t="s">
        <v>145</v>
      </c>
      <c r="C22" s="5">
        <v>0.05049683830171635</v>
      </c>
    </row>
    <row r="23" ht="12.75">
      <c r="C23" s="2"/>
    </row>
    <row r="24" ht="12.75">
      <c r="A24" s="4" t="s">
        <v>141</v>
      </c>
    </row>
    <row r="25" spans="2:3" ht="12.75">
      <c r="B25" t="s">
        <v>159</v>
      </c>
      <c r="C25" s="2">
        <v>2096.25</v>
      </c>
    </row>
    <row r="26" spans="2:3" ht="12.75">
      <c r="B26" t="s">
        <v>150</v>
      </c>
      <c r="C26" s="2">
        <v>11070</v>
      </c>
    </row>
    <row r="27" spans="2:3" ht="12.75">
      <c r="B27" t="s">
        <v>145</v>
      </c>
      <c r="C27" s="5">
        <v>0.1893631436314363</v>
      </c>
    </row>
    <row r="28" ht="12.75">
      <c r="C28" s="2"/>
    </row>
    <row r="29" spans="1:3" ht="12.75">
      <c r="A29" s="4" t="s">
        <v>143</v>
      </c>
      <c r="C29" s="2"/>
    </row>
    <row r="30" spans="2:3" ht="12">
      <c r="B30" t="s">
        <v>152</v>
      </c>
      <c r="C30" s="2">
        <v>119</v>
      </c>
    </row>
    <row r="31" spans="2:3" ht="12">
      <c r="B31" t="s">
        <v>150</v>
      </c>
      <c r="C31" s="2">
        <v>11070</v>
      </c>
    </row>
    <row r="32" spans="2:3" ht="12.75">
      <c r="B32" t="s">
        <v>145</v>
      </c>
      <c r="C32" s="5">
        <v>0.01074977416440831</v>
      </c>
    </row>
    <row r="33" ht="12">
      <c r="C33" s="2"/>
    </row>
    <row r="34" spans="1:3" ht="12.75">
      <c r="A34" s="4" t="s">
        <v>153</v>
      </c>
      <c r="C34" s="2"/>
    </row>
    <row r="35" spans="2:3" ht="12">
      <c r="B35" t="s">
        <v>154</v>
      </c>
      <c r="C35" s="2">
        <v>196</v>
      </c>
    </row>
    <row r="36" spans="2:3" ht="12">
      <c r="B36" t="s">
        <v>150</v>
      </c>
      <c r="C36" s="2">
        <v>11070</v>
      </c>
    </row>
    <row r="37" spans="2:3" ht="12.75">
      <c r="B37" t="s">
        <v>145</v>
      </c>
      <c r="C37" s="5">
        <v>0.017705510388437217</v>
      </c>
    </row>
    <row r="38" ht="12">
      <c r="C38" s="2"/>
    </row>
    <row r="39" spans="1:3" ht="12.75">
      <c r="A39" s="4" t="s">
        <v>155</v>
      </c>
      <c r="C39" s="2"/>
    </row>
    <row r="40" spans="2:3" ht="12">
      <c r="B40" t="s">
        <v>156</v>
      </c>
      <c r="C40" s="2">
        <v>233</v>
      </c>
    </row>
    <row r="41" spans="2:3" ht="12">
      <c r="B41" t="s">
        <v>150</v>
      </c>
      <c r="C41" s="2">
        <v>11070</v>
      </c>
    </row>
    <row r="42" spans="2:3" ht="12.75">
      <c r="B42" t="s">
        <v>145</v>
      </c>
      <c r="C42" s="5">
        <v>0.02104787714543812</v>
      </c>
    </row>
    <row r="44" spans="1:3" ht="12.75">
      <c r="A44" s="4" t="s">
        <v>160</v>
      </c>
      <c r="C44" s="2"/>
    </row>
    <row r="45" spans="2:3" ht="12">
      <c r="B45" t="s">
        <v>161</v>
      </c>
      <c r="C45" s="2">
        <v>703</v>
      </c>
    </row>
    <row r="46" spans="2:3" ht="12">
      <c r="B46" t="s">
        <v>150</v>
      </c>
      <c r="C46" s="2">
        <v>11070</v>
      </c>
    </row>
    <row r="47" spans="2:3" ht="12.75">
      <c r="B47" t="s">
        <v>145</v>
      </c>
      <c r="C47" s="5">
        <v>0.06350496838301717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OSU/CN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Cook</dc:creator>
  <cp:keywords/>
  <dc:description/>
  <cp:lastModifiedBy>Support</cp:lastModifiedBy>
  <cp:lastPrinted>2007-11-27T17:23:20Z</cp:lastPrinted>
  <dcterms:created xsi:type="dcterms:W3CDTF">2007-11-06T22:41:13Z</dcterms:created>
  <dcterms:modified xsi:type="dcterms:W3CDTF">2016-03-02T00:37:01Z</dcterms:modified>
  <cp:category/>
  <cp:version/>
  <cp:contentType/>
  <cp:contentStatus/>
</cp:coreProperties>
</file>